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3" activeTab="0"/>
  </bookViews>
  <sheets>
    <sheet name="POF" sheetId="1" r:id="rId1"/>
    <sheet name="POG" sheetId="2" r:id="rId2"/>
  </sheets>
  <definedNames>
    <definedName name="Excel_BuiltIn__FilterDatabase" localSheetId="1">#REF!</definedName>
    <definedName name="Excel_BuiltIn__FilterDatabase">#REF!</definedName>
    <definedName name="Excel_BuiltIn__FilterDatabase_1" localSheetId="1">#REF!</definedName>
    <definedName name="Excel_BuiltIn__FilterDatabase_1">#REF!</definedName>
    <definedName name="Excel_BuiltIn__FilterDatabase_2" localSheetId="1">#REF!</definedName>
    <definedName name="Excel_BuiltIn__FilterDatabase_2">#REF!</definedName>
    <definedName name="Excel_BuiltIn__FilterDatabase_3" localSheetId="1">#REF!</definedName>
    <definedName name="Excel_BuiltIn__FilterDatabase_3">#REF!</definedName>
    <definedName name="Excel_BuiltIn__FilterDatabase_4" localSheetId="1">#REF!</definedName>
    <definedName name="Excel_BuiltIn__FilterDatabase_4">#REF!</definedName>
    <definedName name="Excel_BuiltIn__FilterDatabase_5" localSheetId="1">#REF!</definedName>
    <definedName name="Excel_BuiltIn__FilterDatabase_5">#REF!</definedName>
  </definedNames>
  <calcPr fullCalcOnLoad="1"/>
</workbook>
</file>

<file path=xl/sharedStrings.xml><?xml version="1.0" encoding="utf-8"?>
<sst xmlns="http://schemas.openxmlformats.org/spreadsheetml/2006/main" count="515" uniqueCount="288">
  <si>
    <t>Challenge de Cross Jeunes 2015-2016</t>
  </si>
  <si>
    <t xml:space="preserve">Comité Départemental d'Athlétisme de l'Eure </t>
  </si>
  <si>
    <t>POUSSINES</t>
  </si>
  <si>
    <r>
      <t xml:space="preserve">11/11/2015 </t>
    </r>
    <r>
      <rPr>
        <b/>
        <sz val="9"/>
        <color indexed="8"/>
        <rFont val="Calibri"/>
        <family val="2"/>
      </rPr>
      <t>Cross Louviers CARRINGTON</t>
    </r>
  </si>
  <si>
    <r>
      <t xml:space="preserve">13/12/2015 </t>
    </r>
    <r>
      <rPr>
        <b/>
        <sz val="9"/>
        <color indexed="8"/>
        <rFont val="Calibri"/>
        <family val="2"/>
      </rPr>
      <t>Cross Evreux A.LAVAUD</t>
    </r>
  </si>
  <si>
    <r>
      <t xml:space="preserve">10/01/2016 </t>
    </r>
    <r>
      <rPr>
        <b/>
        <sz val="9"/>
        <color indexed="8"/>
        <rFont val="Calibri"/>
        <family val="2"/>
      </rPr>
      <t>Départementaux de cross</t>
    </r>
  </si>
  <si>
    <t>TOTAL POINTS</t>
  </si>
  <si>
    <t>PODIUM</t>
  </si>
  <si>
    <t>GRARD Marie</t>
  </si>
  <si>
    <t>Spn Vernon*</t>
  </si>
  <si>
    <t xml:space="preserve">1ère </t>
  </si>
  <si>
    <t>LE BIHAN Felicie</t>
  </si>
  <si>
    <t>Evreux Ac *</t>
  </si>
  <si>
    <t>2e</t>
  </si>
  <si>
    <t>HEUDEBERT Ilona</t>
  </si>
  <si>
    <t>3e</t>
  </si>
  <si>
    <t>GASNIER Estelle</t>
  </si>
  <si>
    <t xml:space="preserve">Eac - S/l Athletic Vallee D'avre </t>
  </si>
  <si>
    <t>4e</t>
  </si>
  <si>
    <t>PY Bertille</t>
  </si>
  <si>
    <t>Gisors Athletic Club</t>
  </si>
  <si>
    <t>5e</t>
  </si>
  <si>
    <t>DU SOUICH Clemence</t>
  </si>
  <si>
    <t>6e</t>
  </si>
  <si>
    <t>OUDOUX Allyah</t>
  </si>
  <si>
    <t>7e</t>
  </si>
  <si>
    <t>CEPAS GOMEZ Candice</t>
  </si>
  <si>
    <t>8e</t>
  </si>
  <si>
    <t>PERROCHON Chloe</t>
  </si>
  <si>
    <t>9e</t>
  </si>
  <si>
    <t>LEBON-OUAYACH Souad</t>
  </si>
  <si>
    <t>Ems Athletisme</t>
  </si>
  <si>
    <t>10e</t>
  </si>
  <si>
    <t>CHACUN Marion</t>
  </si>
  <si>
    <t>11e</t>
  </si>
  <si>
    <t>PROUST Emma</t>
  </si>
  <si>
    <t xml:space="preserve">Spnv - S/l Es Vallee D'eure </t>
  </si>
  <si>
    <t>12e</t>
  </si>
  <si>
    <t>CORVINO Flore</t>
  </si>
  <si>
    <t>13e</t>
  </si>
  <si>
    <t>LEBON Emma</t>
  </si>
  <si>
    <t>14e</t>
  </si>
  <si>
    <t>AVRIL Celia</t>
  </si>
  <si>
    <t>Val-de-reuil Ac *</t>
  </si>
  <si>
    <t>15e</t>
  </si>
  <si>
    <t>PRIANON Lyana</t>
  </si>
  <si>
    <t>16e</t>
  </si>
  <si>
    <t>BLED Marylou</t>
  </si>
  <si>
    <t>Ea Louviers</t>
  </si>
  <si>
    <t>17e</t>
  </si>
  <si>
    <t>SOUMARE Lalia</t>
  </si>
  <si>
    <t>18e</t>
  </si>
  <si>
    <t>CHENIN Elise</t>
  </si>
  <si>
    <t>Sc Bernay*</t>
  </si>
  <si>
    <t>19e</t>
  </si>
  <si>
    <t>HENRY Lucile</t>
  </si>
  <si>
    <t>Les Andelys</t>
  </si>
  <si>
    <t>20e</t>
  </si>
  <si>
    <t>MARY Loane</t>
  </si>
  <si>
    <t>21e</t>
  </si>
  <si>
    <t>MOUTON Angeline</t>
  </si>
  <si>
    <t>Neubourg Ac</t>
  </si>
  <si>
    <t>22e</t>
  </si>
  <si>
    <t>GUICHARD Astrid</t>
  </si>
  <si>
    <t xml:space="preserve">Running En Vallee D'eure 27 </t>
  </si>
  <si>
    <t>GUEYE Coumba</t>
  </si>
  <si>
    <t>MARTIN Anais</t>
  </si>
  <si>
    <t>GUERVILLE Elise</t>
  </si>
  <si>
    <t>Club Athletic Ezy</t>
  </si>
  <si>
    <t>GAILLARDOU Romane</t>
  </si>
  <si>
    <t>DEBOUVRIES Mathilde</t>
  </si>
  <si>
    <t>PACQUENTIN Emma</t>
  </si>
  <si>
    <t>Running En Vallee D'eure 27 Pa</t>
  </si>
  <si>
    <t>ALLALI Soulaf</t>
  </si>
  <si>
    <t>ANSELME Charlotte</t>
  </si>
  <si>
    <t>PETIT-MEYZENQ Colynne</t>
  </si>
  <si>
    <t>BRULAY Josephine</t>
  </si>
  <si>
    <t>CRUCHET Perline</t>
  </si>
  <si>
    <t>RAVASSAUD Isaure</t>
  </si>
  <si>
    <t>GAMBY Victoire</t>
  </si>
  <si>
    <t>KINOUANI Melina</t>
  </si>
  <si>
    <t>EGELEY Anaelle</t>
  </si>
  <si>
    <t>LEBERT Sarah</t>
  </si>
  <si>
    <t>DAVY Arnelle</t>
  </si>
  <si>
    <t>GAUVIN Gabrielle</t>
  </si>
  <si>
    <t>BENRAHMA Chaima</t>
  </si>
  <si>
    <t>DELAUNAY IDIER Zoe</t>
  </si>
  <si>
    <t>LETELLIER Nehemie</t>
  </si>
  <si>
    <t>MONGREVILLE Noemie</t>
  </si>
  <si>
    <t>ROUGER Celia</t>
  </si>
  <si>
    <t>GHERIANI Myriam</t>
  </si>
  <si>
    <t>BECAT Jade</t>
  </si>
  <si>
    <t>QUESNEL Valentine</t>
  </si>
  <si>
    <t>Spnv - S/l Es Vallee D'eure</t>
  </si>
  <si>
    <t>ESCANDE Aimeline</t>
  </si>
  <si>
    <t>CARPENTIER Domitille</t>
  </si>
  <si>
    <t>GRAIZEAU Laure</t>
  </si>
  <si>
    <t>GRIFFON Lilah</t>
  </si>
  <si>
    <t>LAURENT Marie-Amélie</t>
  </si>
  <si>
    <t>Pont Audemer AC</t>
  </si>
  <si>
    <t>RIVETTE Chloe</t>
  </si>
  <si>
    <t>CHAUMOITRE Camille</t>
  </si>
  <si>
    <t>MARIE Kassandra</t>
  </si>
  <si>
    <t>VARILLON Jeanne</t>
  </si>
  <si>
    <t xml:space="preserve">BOUTTE Fanny </t>
  </si>
  <si>
    <t>LE MEUR Leila</t>
  </si>
  <si>
    <t>Spnv - S/l Es Vallee D'eure (p</t>
  </si>
  <si>
    <t>SCHEEMACKER Lola</t>
  </si>
  <si>
    <t>AUBRY Lucile</t>
  </si>
  <si>
    <t>LECLERCQ Melina</t>
  </si>
  <si>
    <t>REBAUDO Fanny</t>
  </si>
  <si>
    <t xml:space="preserve">VIARDOT Maelly </t>
  </si>
  <si>
    <t>CHAGH Imen</t>
  </si>
  <si>
    <t>MARAVAL Manon</t>
  </si>
  <si>
    <t>LECOUTEUX Eleonore</t>
  </si>
  <si>
    <t>DUBOS STALIN Lison</t>
  </si>
  <si>
    <t>BOULEUX Océane</t>
  </si>
  <si>
    <t>EDOUARD Axelle</t>
  </si>
  <si>
    <t>SY Khadidiatou</t>
  </si>
  <si>
    <t>FAURE Anaelle</t>
  </si>
  <si>
    <t>LEPETIT Celia</t>
  </si>
  <si>
    <t xml:space="preserve">RAYMOND Talys </t>
  </si>
  <si>
    <t>GUILBERT Jade</t>
  </si>
  <si>
    <t>PECQUET Carla</t>
  </si>
  <si>
    <t>MICHEL Noemie</t>
  </si>
  <si>
    <t>CATHERIN Melissandre</t>
  </si>
  <si>
    <t>VASTEL Lola</t>
  </si>
  <si>
    <t>DRIEU Morganne</t>
  </si>
  <si>
    <t>PAYEN-GAIERO Elina</t>
  </si>
  <si>
    <t>SEDLACEK Klara</t>
  </si>
  <si>
    <t>BELKHAOUEL Selma</t>
  </si>
  <si>
    <t>VARIN Lea</t>
  </si>
  <si>
    <t>ZIHOUNE Nawel</t>
  </si>
  <si>
    <t>FERRIC Elea</t>
  </si>
  <si>
    <t>ETUR Emma</t>
  </si>
  <si>
    <t>DAVALLAN Manon</t>
  </si>
  <si>
    <t>COUEFFE AMETTE Julie</t>
  </si>
  <si>
    <t>SOYER Salome</t>
  </si>
  <si>
    <t>ASSABANE Somaya</t>
  </si>
  <si>
    <t>VALLEE FOSSE Oceane</t>
  </si>
  <si>
    <t>SIDIBE Eleane</t>
  </si>
  <si>
    <t>NIAKATE Sadio</t>
  </si>
  <si>
    <t>ADON Tea</t>
  </si>
  <si>
    <t>GOULE Juliette</t>
  </si>
  <si>
    <t>BILLAUT Coline</t>
  </si>
  <si>
    <t>EL BERTAI Soukaina</t>
  </si>
  <si>
    <t>MASSON Camille</t>
  </si>
  <si>
    <t>NJOCK-MISSEKE Maeva-caroline</t>
  </si>
  <si>
    <t>POUSSINS</t>
  </si>
  <si>
    <r>
      <t xml:space="preserve">11/11/2015 </t>
    </r>
    <r>
      <rPr>
        <b/>
        <sz val="9"/>
        <rFont val="Calibri"/>
        <family val="2"/>
      </rPr>
      <t>Cross Louviers CARRINGTON</t>
    </r>
  </si>
  <si>
    <r>
      <t xml:space="preserve">13/12/2015 </t>
    </r>
    <r>
      <rPr>
        <b/>
        <sz val="9"/>
        <rFont val="Calibri"/>
        <family val="2"/>
      </rPr>
      <t>Cross Evreux A.LAVAUD</t>
    </r>
  </si>
  <si>
    <r>
      <t xml:space="preserve">10/01/2016 </t>
    </r>
    <r>
      <rPr>
        <b/>
        <sz val="9"/>
        <rFont val="Calibri"/>
        <family val="2"/>
      </rPr>
      <t>Départementaux de cross</t>
    </r>
  </si>
  <si>
    <t>RODRIGUE Brice</t>
  </si>
  <si>
    <t xml:space="preserve">1er </t>
  </si>
  <si>
    <t>LEBOURG Steeve</t>
  </si>
  <si>
    <t>ABRAHAM Joshua</t>
  </si>
  <si>
    <t>LANGEVIN-RUAULTS Theo</t>
  </si>
  <si>
    <t>CELIS Clement</t>
  </si>
  <si>
    <t>MAYORAL Antoine</t>
  </si>
  <si>
    <t>MINYEMECK Axel</t>
  </si>
  <si>
    <t>CUNY Florian</t>
  </si>
  <si>
    <t>TRABELSI Ilyes</t>
  </si>
  <si>
    <t>MEHAL Steed</t>
  </si>
  <si>
    <t>KOZLOWSKI Leopold</t>
  </si>
  <si>
    <t>POULLE-BIDERE Alexis</t>
  </si>
  <si>
    <t>HERNANDEZ LUIS Anatole</t>
  </si>
  <si>
    <t>PLANTE Maxens</t>
  </si>
  <si>
    <t>DESSEL Rafael</t>
  </si>
  <si>
    <t>TOP Louis</t>
  </si>
  <si>
    <t>VERLEYEN Justin</t>
  </si>
  <si>
    <t>DREANO Gabin</t>
  </si>
  <si>
    <t>KIRADY Gabriel</t>
  </si>
  <si>
    <t>DUHAMEL Tom</t>
  </si>
  <si>
    <t>GOUDOU Enzo</t>
  </si>
  <si>
    <t>FIAULT Adrien</t>
  </si>
  <si>
    <t>GIRAULT Wandrille</t>
  </si>
  <si>
    <t>PECKRE Ethan</t>
  </si>
  <si>
    <t>24e</t>
  </si>
  <si>
    <t>GOUIN Alexandre</t>
  </si>
  <si>
    <t>25e</t>
  </si>
  <si>
    <t>HELIX Esteban</t>
  </si>
  <si>
    <t>26e</t>
  </si>
  <si>
    <t>BERTRAND Alex</t>
  </si>
  <si>
    <t>27e</t>
  </si>
  <si>
    <t>WANDT Hector (DEN)</t>
  </si>
  <si>
    <t>28e</t>
  </si>
  <si>
    <t>CHAILLET Thibaut</t>
  </si>
  <si>
    <t>29e</t>
  </si>
  <si>
    <t>BLANCHARD Mathias</t>
  </si>
  <si>
    <t>30e</t>
  </si>
  <si>
    <t>HEBERT Theo</t>
  </si>
  <si>
    <t>31e</t>
  </si>
  <si>
    <t>FILLION Dorian</t>
  </si>
  <si>
    <t>32e</t>
  </si>
  <si>
    <t>PETIJON Nicolas</t>
  </si>
  <si>
    <t>33e</t>
  </si>
  <si>
    <t>AMY Baptiste</t>
  </si>
  <si>
    <t>34e</t>
  </si>
  <si>
    <t>LEGRAND Matthieu</t>
  </si>
  <si>
    <t>35e</t>
  </si>
  <si>
    <t>ENCINAS Lucas</t>
  </si>
  <si>
    <t>36e</t>
  </si>
  <si>
    <t>SIMEON Damien</t>
  </si>
  <si>
    <t>37e</t>
  </si>
  <si>
    <t>VEREECKEN Arthur</t>
  </si>
  <si>
    <t>MULLET Simon</t>
  </si>
  <si>
    <t>39e</t>
  </si>
  <si>
    <t>BAGUELIN Kepha</t>
  </si>
  <si>
    <t>TERTRAIS Julien</t>
  </si>
  <si>
    <t>MARIE Corentin</t>
  </si>
  <si>
    <t>BAVARD Valentin</t>
  </si>
  <si>
    <t>FERREIRA Manuel</t>
  </si>
  <si>
    <t>LE MARIGNIER Theo</t>
  </si>
  <si>
    <t>ROUSTEL Esteban</t>
  </si>
  <si>
    <t>PIOCELLE Zacharie</t>
  </si>
  <si>
    <t>CLEMENT Hugo</t>
  </si>
  <si>
    <t>TAVET Theo</t>
  </si>
  <si>
    <t>LANGLOIS Theo</t>
  </si>
  <si>
    <t>CUNY Baptiste</t>
  </si>
  <si>
    <t>CORDIER Antoine</t>
  </si>
  <si>
    <t>CREVITS Axel</t>
  </si>
  <si>
    <t>CATS Vincent</t>
  </si>
  <si>
    <t>JOSSE Gaspard</t>
  </si>
  <si>
    <t>CAREME Loan</t>
  </si>
  <si>
    <t>LEBERTRE Sacha</t>
  </si>
  <si>
    <t>DUTEIL Terence</t>
  </si>
  <si>
    <t>RICHARD Axel</t>
  </si>
  <si>
    <t>WATINE Gabriel</t>
  </si>
  <si>
    <t>ABOKI-AMSALEM Isaac</t>
  </si>
  <si>
    <t>MOLETO Antoine</t>
  </si>
  <si>
    <t xml:space="preserve">THIBAULT Adrien </t>
  </si>
  <si>
    <t>CHOPIN Anthony</t>
  </si>
  <si>
    <t>PASQUIER Elyah</t>
  </si>
  <si>
    <t xml:space="preserve">GRENDES Rafael </t>
  </si>
  <si>
    <t>MENELEC Eloan</t>
  </si>
  <si>
    <t>HARDY Matteo</t>
  </si>
  <si>
    <t>LARDEAU Marius</t>
  </si>
  <si>
    <t>BACKES Tom</t>
  </si>
  <si>
    <t>BONNEGENT Mateo</t>
  </si>
  <si>
    <t>HANNOY Quentin</t>
  </si>
  <si>
    <t>MARIE Raphael</t>
  </si>
  <si>
    <t>FONTAINE Valentin</t>
  </si>
  <si>
    <t xml:space="preserve">MIRA Aurélien </t>
  </si>
  <si>
    <t>Les Mille pattes de Romilly</t>
  </si>
  <si>
    <t>CLEE Arthur</t>
  </si>
  <si>
    <t>DORISON Hugo</t>
  </si>
  <si>
    <t>OLIVIER Neil</t>
  </si>
  <si>
    <t xml:space="preserve">DELAMARE Gustave </t>
  </si>
  <si>
    <t>LOUIS Loris</t>
  </si>
  <si>
    <t xml:space="preserve">POULAIN Dorian </t>
  </si>
  <si>
    <t>KASONGO Yann</t>
  </si>
  <si>
    <t>KASMI Mohamed-yassine</t>
  </si>
  <si>
    <t>COLIGNON Louis</t>
  </si>
  <si>
    <t>ROTROU Elio</t>
  </si>
  <si>
    <t>GUENEGAN Enzo</t>
  </si>
  <si>
    <t>EYMERIE Antonin</t>
  </si>
  <si>
    <t>PONTY Julien</t>
  </si>
  <si>
    <t>COSTA Evan</t>
  </si>
  <si>
    <t>GOMIS-LEFEVRE Lohan</t>
  </si>
  <si>
    <t>PEYRES PIRES Brice</t>
  </si>
  <si>
    <t xml:space="preserve">PAUVERT Corentin </t>
  </si>
  <si>
    <t>MARGUERITTE Camille</t>
  </si>
  <si>
    <t xml:space="preserve">JULIEN Xavier </t>
  </si>
  <si>
    <t>LEFEU William</t>
  </si>
  <si>
    <t>GUINGADARIN Samuel</t>
  </si>
  <si>
    <t>Eac - S/l Athletic Vallee D'avre</t>
  </si>
  <si>
    <t>PIERRAT Adrien</t>
  </si>
  <si>
    <t>VANDECASTELLE Lucien</t>
  </si>
  <si>
    <t>BOUBERRIA Lucas</t>
  </si>
  <si>
    <t>GIRAUD Nathan</t>
  </si>
  <si>
    <t>DEBARVILLE Teo</t>
  </si>
  <si>
    <t>NOEL Bastian</t>
  </si>
  <si>
    <t>DODIER Noa</t>
  </si>
  <si>
    <t xml:space="preserve">LEDRU Benjamin </t>
  </si>
  <si>
    <t>BELLAFQIH Ayoub</t>
  </si>
  <si>
    <t>STEPHAN Antoine</t>
  </si>
  <si>
    <t xml:space="preserve">HONORE Mathis </t>
  </si>
  <si>
    <t>MOUTOU-TESTUD Mathis</t>
  </si>
  <si>
    <t>CHAGH Amine</t>
  </si>
  <si>
    <t>DOUTEAU-POIROUX Arthur</t>
  </si>
  <si>
    <t>DESFERET Gaspar</t>
  </si>
  <si>
    <t>DENECHERE Louis</t>
  </si>
  <si>
    <t>SAINT-GILLES Marvin</t>
  </si>
  <si>
    <t>MARECHAL Hugo</t>
  </si>
  <si>
    <t>RULLEAU Adrien</t>
  </si>
  <si>
    <t>RACHFAL Maxime</t>
  </si>
  <si>
    <t>FLOIRAC-BOURCIER Tristan</t>
  </si>
  <si>
    <t>GRAVIER Nathan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</si>
</sst>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20">
    <font>
      <sz val="10"/>
      <name val="Arial"/>
      <family val="2"/>
    </font>
    <font>
      <b/>
      <sz val="10"/>
      <name val="Arial"/>
      <family val="2"/>
    </font>
    <font>
      <b/>
      <sz val="20"/>
      <color indexed="9"/>
      <name val="Arial"/>
      <family val="2"/>
    </font>
    <font>
      <b/>
      <sz val="16"/>
      <name val="Calibri"/>
      <family val="2"/>
    </font>
    <font>
      <b/>
      <u val="single"/>
      <sz val="9"/>
      <color indexed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1"/>
      <color indexed="14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4"/>
      <name val="Calibri"/>
      <family val="2"/>
    </font>
    <font>
      <sz val="9"/>
      <name val="Arial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sz val="10"/>
      <color indexed="23"/>
      <name val="Verdana"/>
      <family val="2"/>
    </font>
    <font>
      <b/>
      <sz val="8"/>
      <color indexed="9"/>
      <name val="Calibri"/>
      <family val="2"/>
    </font>
    <font>
      <b/>
      <sz val="11"/>
      <color indexed="30"/>
      <name val="Calibri"/>
      <family val="2"/>
    </font>
    <font>
      <b/>
      <sz val="8"/>
      <color indexed="3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14"/>
      </right>
      <top style="thick">
        <color indexed="14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14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3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30"/>
      </right>
      <top>
        <color indexed="63"/>
      </top>
      <bottom style="medium">
        <color indexed="30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 wrapText="1"/>
    </xf>
    <xf numFmtId="164" fontId="7" fillId="3" borderId="4" xfId="0" applyFont="1" applyFill="1" applyBorder="1" applyAlignment="1">
      <alignment horizontal="center" vertical="center" wrapText="1"/>
    </xf>
    <xf numFmtId="164" fontId="6" fillId="0" borderId="5" xfId="0" applyFont="1" applyFill="1" applyBorder="1" applyAlignment="1">
      <alignment horizontal="center" vertical="center"/>
    </xf>
    <xf numFmtId="164" fontId="8" fillId="4" borderId="6" xfId="0" applyFont="1" applyFill="1" applyBorder="1" applyAlignment="1">
      <alignment/>
    </xf>
    <xf numFmtId="164" fontId="8" fillId="4" borderId="7" xfId="0" applyFont="1" applyFill="1" applyBorder="1" applyAlignment="1">
      <alignment/>
    </xf>
    <xf numFmtId="164" fontId="9" fillId="4" borderId="8" xfId="0" applyFont="1" applyFill="1" applyBorder="1" applyAlignment="1">
      <alignment horizontal="center" vertical="center" wrapText="1"/>
    </xf>
    <xf numFmtId="164" fontId="10" fillId="4" borderId="9" xfId="0" applyFont="1" applyFill="1" applyBorder="1" applyAlignment="1">
      <alignment horizontal="center" vertical="center"/>
    </xf>
    <xf numFmtId="164" fontId="11" fillId="2" borderId="10" xfId="0" applyFont="1" applyFill="1" applyBorder="1" applyAlignment="1">
      <alignment horizontal="center" vertical="center"/>
    </xf>
    <xf numFmtId="164" fontId="12" fillId="3" borderId="11" xfId="0" applyFont="1" applyFill="1" applyBorder="1" applyAlignment="1">
      <alignment horizontal="center" vertical="center"/>
    </xf>
    <xf numFmtId="164" fontId="6" fillId="0" borderId="12" xfId="0" applyFont="1" applyFill="1" applyBorder="1" applyAlignment="1">
      <alignment horizontal="center" vertical="center"/>
    </xf>
    <xf numFmtId="164" fontId="8" fillId="4" borderId="13" xfId="0" applyFont="1" applyFill="1" applyBorder="1" applyAlignment="1">
      <alignment/>
    </xf>
    <xf numFmtId="164" fontId="8" fillId="4" borderId="14" xfId="0" applyFont="1" applyFill="1" applyBorder="1" applyAlignment="1">
      <alignment/>
    </xf>
    <xf numFmtId="164" fontId="9" fillId="4" borderId="15" xfId="0" applyFont="1" applyFill="1" applyBorder="1" applyAlignment="1">
      <alignment horizontal="center" vertical="center"/>
    </xf>
    <xf numFmtId="164" fontId="10" fillId="4" borderId="16" xfId="0" applyFont="1" applyFill="1" applyBorder="1" applyAlignment="1">
      <alignment horizontal="center" vertical="center"/>
    </xf>
    <xf numFmtId="164" fontId="11" fillId="2" borderId="12" xfId="0" applyFont="1" applyFill="1" applyBorder="1" applyAlignment="1">
      <alignment horizontal="center" vertical="center"/>
    </xf>
    <xf numFmtId="164" fontId="12" fillId="3" borderId="17" xfId="0" applyFont="1" applyFill="1" applyBorder="1" applyAlignment="1">
      <alignment horizontal="center" vertical="center"/>
    </xf>
    <xf numFmtId="164" fontId="13" fillId="0" borderId="0" xfId="0" applyFont="1" applyAlignment="1">
      <alignment vertical="center" wrapText="1"/>
    </xf>
    <xf numFmtId="164" fontId="13" fillId="0" borderId="0" xfId="0" applyFont="1" applyAlignment="1">
      <alignment/>
    </xf>
    <xf numFmtId="164" fontId="14" fillId="0" borderId="0" xfId="0" applyFont="1" applyFill="1" applyAlignment="1">
      <alignment vertical="center"/>
    </xf>
    <xf numFmtId="164" fontId="15" fillId="0" borderId="0" xfId="0" applyFont="1" applyFill="1" applyAlignment="1">
      <alignment vertical="center"/>
    </xf>
    <xf numFmtId="164" fontId="0" fillId="0" borderId="0" xfId="0" applyAlignment="1">
      <alignment/>
    </xf>
    <xf numFmtId="164" fontId="9" fillId="4" borderId="15" xfId="0" applyFont="1" applyFill="1" applyBorder="1" applyAlignment="1">
      <alignment horizontal="center" vertical="center" wrapText="1"/>
    </xf>
    <xf numFmtId="164" fontId="16" fillId="0" borderId="0" xfId="0" applyFont="1" applyFill="1" applyAlignment="1">
      <alignment vertical="center"/>
    </xf>
    <xf numFmtId="164" fontId="0" fillId="0" borderId="0" xfId="0" applyAlignment="1">
      <alignment vertical="center"/>
    </xf>
    <xf numFmtId="164" fontId="9" fillId="4" borderId="15" xfId="0" applyFont="1" applyFill="1" applyBorder="1" applyAlignment="1">
      <alignment horizontal="center"/>
    </xf>
    <xf numFmtId="164" fontId="8" fillId="0" borderId="13" xfId="0" applyFont="1" applyBorder="1" applyAlignment="1">
      <alignment/>
    </xf>
    <xf numFmtId="164" fontId="8" fillId="0" borderId="14" xfId="0" applyFont="1" applyBorder="1" applyAlignment="1">
      <alignment/>
    </xf>
    <xf numFmtId="164" fontId="9" fillId="0" borderId="15" xfId="0" applyFont="1" applyFill="1" applyBorder="1" applyAlignment="1">
      <alignment horizontal="center" vertical="center" wrapText="1"/>
    </xf>
    <xf numFmtId="164" fontId="6" fillId="0" borderId="15" xfId="0" applyFont="1" applyFill="1" applyBorder="1" applyAlignment="1">
      <alignment horizontal="center" vertical="center" wrapText="1"/>
    </xf>
    <xf numFmtId="164" fontId="10" fillId="0" borderId="16" xfId="0" applyFont="1" applyFill="1" applyBorder="1" applyAlignment="1">
      <alignment horizontal="center" vertical="center"/>
    </xf>
    <xf numFmtId="164" fontId="17" fillId="3" borderId="17" xfId="0" applyFont="1" applyFill="1" applyBorder="1" applyAlignment="1">
      <alignment horizontal="center" vertical="center"/>
    </xf>
    <xf numFmtId="164" fontId="9" fillId="0" borderId="15" xfId="0" applyFont="1" applyFill="1" applyBorder="1" applyAlignment="1">
      <alignment horizontal="center" vertical="center"/>
    </xf>
    <xf numFmtId="164" fontId="5" fillId="0" borderId="16" xfId="0" applyFont="1" applyFill="1" applyBorder="1" applyAlignment="1">
      <alignment horizontal="center" vertical="center"/>
    </xf>
    <xf numFmtId="164" fontId="9" fillId="0" borderId="15" xfId="0" applyFont="1" applyFill="1" applyBorder="1" applyAlignment="1">
      <alignment/>
    </xf>
    <xf numFmtId="164" fontId="9" fillId="0" borderId="15" xfId="0" applyFont="1" applyFill="1" applyBorder="1" applyAlignment="1">
      <alignment horizontal="center"/>
    </xf>
    <xf numFmtId="164" fontId="1" fillId="0" borderId="0" xfId="0" applyFont="1" applyAlignment="1">
      <alignment vertical="center"/>
    </xf>
    <xf numFmtId="164" fontId="8" fillId="0" borderId="18" xfId="0" applyFont="1" applyBorder="1" applyAlignment="1">
      <alignment/>
    </xf>
    <xf numFmtId="164" fontId="8" fillId="0" borderId="19" xfId="0" applyFont="1" applyBorder="1" applyAlignment="1">
      <alignment/>
    </xf>
    <xf numFmtId="164" fontId="9" fillId="0" borderId="20" xfId="0" applyFont="1" applyFill="1" applyBorder="1" applyAlignment="1">
      <alignment horizontal="center" vertical="center"/>
    </xf>
    <xf numFmtId="164" fontId="9" fillId="0" borderId="20" xfId="0" applyFont="1" applyFill="1" applyBorder="1" applyAlignment="1">
      <alignment/>
    </xf>
    <xf numFmtId="164" fontId="10" fillId="0" borderId="21" xfId="0" applyFont="1" applyFill="1" applyBorder="1" applyAlignment="1">
      <alignment horizontal="center" vertical="center"/>
    </xf>
    <xf numFmtId="164" fontId="9" fillId="0" borderId="20" xfId="0" applyFont="1" applyFill="1" applyBorder="1" applyAlignment="1">
      <alignment horizontal="center" vertical="center" wrapText="1"/>
    </xf>
    <xf numFmtId="164" fontId="6" fillId="0" borderId="20" xfId="0" applyFont="1" applyFill="1" applyBorder="1" applyAlignment="1">
      <alignment horizontal="center" vertical="center" wrapText="1"/>
    </xf>
    <xf numFmtId="164" fontId="9" fillId="0" borderId="16" xfId="0" applyFont="1" applyFill="1" applyBorder="1" applyAlignment="1">
      <alignment horizontal="center" vertical="center"/>
    </xf>
    <xf numFmtId="164" fontId="9" fillId="0" borderId="16" xfId="0" applyFont="1" applyFill="1" applyBorder="1" applyAlignment="1">
      <alignment horizontal="center"/>
    </xf>
    <xf numFmtId="164" fontId="9" fillId="0" borderId="16" xfId="0" applyFont="1" applyFill="1" applyBorder="1" applyAlignment="1">
      <alignment horizontal="center" vertical="center" wrapText="1"/>
    </xf>
    <xf numFmtId="164" fontId="6" fillId="0" borderId="16" xfId="0" applyFont="1" applyFill="1" applyBorder="1" applyAlignment="1">
      <alignment horizontal="center" vertical="center" wrapText="1"/>
    </xf>
    <xf numFmtId="164" fontId="9" fillId="0" borderId="16" xfId="0" applyFont="1" applyFill="1" applyBorder="1" applyAlignment="1">
      <alignment/>
    </xf>
    <xf numFmtId="164" fontId="9" fillId="0" borderId="21" xfId="0" applyFont="1" applyFill="1" applyBorder="1" applyAlignment="1">
      <alignment horizontal="center" vertical="center" wrapText="1"/>
    </xf>
    <xf numFmtId="164" fontId="6" fillId="0" borderId="21" xfId="0" applyFont="1" applyFill="1" applyBorder="1" applyAlignment="1">
      <alignment horizontal="center" vertical="center" wrapText="1"/>
    </xf>
    <xf numFmtId="164" fontId="9" fillId="0" borderId="21" xfId="0" applyFont="1" applyFill="1" applyBorder="1" applyAlignment="1">
      <alignment horizontal="center" vertical="center"/>
    </xf>
    <xf numFmtId="164" fontId="8" fillId="0" borderId="22" xfId="0" applyFont="1" applyBorder="1" applyAlignment="1">
      <alignment/>
    </xf>
    <xf numFmtId="164" fontId="8" fillId="0" borderId="23" xfId="0" applyFont="1" applyBorder="1" applyAlignment="1">
      <alignment/>
    </xf>
    <xf numFmtId="164" fontId="9" fillId="0" borderId="24" xfId="0" applyFont="1" applyFill="1" applyBorder="1" applyAlignment="1">
      <alignment horizontal="center" vertical="center"/>
    </xf>
    <xf numFmtId="164" fontId="9" fillId="0" borderId="24" xfId="0" applyFont="1" applyFill="1" applyBorder="1" applyAlignment="1">
      <alignment/>
    </xf>
    <xf numFmtId="164" fontId="10" fillId="0" borderId="24" xfId="0" applyFont="1" applyFill="1" applyBorder="1" applyAlignment="1">
      <alignment horizontal="center" vertical="center"/>
    </xf>
    <xf numFmtId="164" fontId="2" fillId="5" borderId="0" xfId="0" applyFont="1" applyFill="1" applyBorder="1" applyAlignment="1">
      <alignment horizontal="center" vertical="center"/>
    </xf>
    <xf numFmtId="164" fontId="3" fillId="5" borderId="1" xfId="0" applyFont="1" applyFill="1" applyBorder="1" applyAlignment="1">
      <alignment horizontal="center" vertical="center"/>
    </xf>
    <xf numFmtId="165" fontId="4" fillId="5" borderId="25" xfId="0" applyNumberFormat="1" applyFont="1" applyFill="1" applyBorder="1" applyAlignment="1">
      <alignment horizontal="center" vertical="center" wrapText="1"/>
    </xf>
    <xf numFmtId="165" fontId="4" fillId="5" borderId="26" xfId="0" applyNumberFormat="1" applyFont="1" applyFill="1" applyBorder="1" applyAlignment="1">
      <alignment horizontal="center" vertical="center" wrapText="1"/>
    </xf>
    <xf numFmtId="164" fontId="6" fillId="5" borderId="1" xfId="0" applyFont="1" applyFill="1" applyBorder="1" applyAlignment="1">
      <alignment horizontal="center" vertical="center" wrapText="1"/>
    </xf>
    <xf numFmtId="164" fontId="18" fillId="3" borderId="27" xfId="0" applyFont="1" applyFill="1" applyBorder="1" applyAlignment="1">
      <alignment horizontal="center" vertical="center" wrapText="1"/>
    </xf>
    <xf numFmtId="164" fontId="6" fillId="0" borderId="28" xfId="0" applyFont="1" applyFill="1" applyBorder="1" applyAlignment="1">
      <alignment horizontal="center" vertical="center"/>
    </xf>
    <xf numFmtId="164" fontId="8" fillId="6" borderId="29" xfId="0" applyFont="1" applyFill="1" applyBorder="1" applyAlignment="1">
      <alignment/>
    </xf>
    <xf numFmtId="164" fontId="8" fillId="6" borderId="30" xfId="0" applyFont="1" applyFill="1" applyBorder="1" applyAlignment="1">
      <alignment/>
    </xf>
    <xf numFmtId="164" fontId="9" fillId="6" borderId="9" xfId="0" applyFont="1" applyFill="1" applyBorder="1" applyAlignment="1">
      <alignment horizontal="center" vertical="center"/>
    </xf>
    <xf numFmtId="164" fontId="9" fillId="6" borderId="8" xfId="0" applyFont="1" applyFill="1" applyBorder="1" applyAlignment="1">
      <alignment horizontal="center" vertical="center" wrapText="1"/>
    </xf>
    <xf numFmtId="164" fontId="11" fillId="5" borderId="5" xfId="0" applyFont="1" applyFill="1" applyBorder="1" applyAlignment="1">
      <alignment horizontal="center" vertical="center"/>
    </xf>
    <xf numFmtId="164" fontId="19" fillId="3" borderId="31" xfId="0" applyFont="1" applyFill="1" applyBorder="1" applyAlignment="1">
      <alignment horizontal="center" vertical="center"/>
    </xf>
    <xf numFmtId="164" fontId="6" fillId="0" borderId="32" xfId="0" applyFont="1" applyFill="1" applyBorder="1" applyAlignment="1">
      <alignment horizontal="center" vertical="center"/>
    </xf>
    <xf numFmtId="164" fontId="8" fillId="6" borderId="13" xfId="0" applyFont="1" applyFill="1" applyBorder="1" applyAlignment="1">
      <alignment/>
    </xf>
    <xf numFmtId="164" fontId="8" fillId="6" borderId="33" xfId="0" applyFont="1" applyFill="1" applyBorder="1" applyAlignment="1">
      <alignment/>
    </xf>
    <xf numFmtId="164" fontId="9" fillId="6" borderId="16" xfId="0" applyFont="1" applyFill="1" applyBorder="1" applyAlignment="1">
      <alignment horizontal="center" vertical="center"/>
    </xf>
    <xf numFmtId="164" fontId="9" fillId="6" borderId="15" xfId="0" applyFont="1" applyFill="1" applyBorder="1" applyAlignment="1">
      <alignment horizontal="center" vertical="center" wrapText="1"/>
    </xf>
    <xf numFmtId="164" fontId="11" fillId="5" borderId="12" xfId="0" applyFont="1" applyFill="1" applyBorder="1" applyAlignment="1">
      <alignment horizontal="center" vertical="center"/>
    </xf>
    <xf numFmtId="164" fontId="19" fillId="3" borderId="34" xfId="0" applyFont="1" applyFill="1" applyBorder="1" applyAlignment="1">
      <alignment horizontal="center" vertical="center"/>
    </xf>
    <xf numFmtId="164" fontId="0" fillId="0" borderId="0" xfId="0" applyAlignment="1">
      <alignment vertical="center" wrapText="1"/>
    </xf>
    <xf numFmtId="164" fontId="14" fillId="0" borderId="0" xfId="0" applyFont="1" applyFill="1" applyAlignment="1">
      <alignment vertical="center" wrapText="1"/>
    </xf>
    <xf numFmtId="164" fontId="9" fillId="6" borderId="16" xfId="0" applyFont="1" applyFill="1" applyBorder="1" applyAlignment="1">
      <alignment horizontal="center" vertical="center" wrapText="1"/>
    </xf>
    <xf numFmtId="164" fontId="9" fillId="6" borderId="15" xfId="0" applyFont="1" applyFill="1" applyBorder="1" applyAlignment="1">
      <alignment horizontal="center" vertical="center"/>
    </xf>
    <xf numFmtId="164" fontId="8" fillId="0" borderId="33" xfId="0" applyFont="1" applyBorder="1" applyAlignment="1">
      <alignment/>
    </xf>
    <xf numFmtId="164" fontId="17" fillId="3" borderId="34" xfId="0" applyFont="1" applyFill="1" applyBorder="1" applyAlignment="1">
      <alignment horizontal="center" vertical="center"/>
    </xf>
    <xf numFmtId="164" fontId="8" fillId="0" borderId="35" xfId="0" applyFont="1" applyBorder="1" applyAlignment="1">
      <alignment/>
    </xf>
    <xf numFmtId="164" fontId="9" fillId="0" borderId="36" xfId="0" applyFont="1" applyFill="1" applyBorder="1" applyAlignment="1">
      <alignment horizontal="center" vertical="center" wrapText="1"/>
    </xf>
    <xf numFmtId="164" fontId="8" fillId="0" borderId="37" xfId="0" applyFont="1" applyBorder="1" applyAlignment="1">
      <alignment/>
    </xf>
    <xf numFmtId="164" fontId="9" fillId="0" borderId="24" xfId="0" applyFont="1" applyFill="1" applyBorder="1" applyAlignment="1">
      <alignment horizontal="center" vertical="center" wrapText="1"/>
    </xf>
    <xf numFmtId="164" fontId="17" fillId="3" borderId="3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T104"/>
  <sheetViews>
    <sheetView tabSelected="1" zoomScale="90" zoomScaleNormal="90" workbookViewId="0" topLeftCell="A1">
      <selection activeCell="L3" sqref="L3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28.00390625" style="0" customWidth="1"/>
    <col min="4" max="5" width="11.140625" style="0" customWidth="1"/>
    <col min="6" max="6" width="13.421875" style="0" customWidth="1"/>
    <col min="7" max="7" width="11.57421875" style="0" customWidth="1"/>
    <col min="8" max="8" width="8.7109375" style="0" customWidth="1"/>
    <col min="11" max="11" width="17.140625" style="0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2:8" ht="12.75">
      <c r="B3" s="4" t="s">
        <v>2</v>
      </c>
      <c r="C3" s="4"/>
      <c r="D3" s="5" t="s">
        <v>3</v>
      </c>
      <c r="E3" s="5" t="s">
        <v>4</v>
      </c>
      <c r="F3" s="5" t="s">
        <v>5</v>
      </c>
      <c r="G3" s="6" t="s">
        <v>6</v>
      </c>
      <c r="H3" s="7" t="s">
        <v>7</v>
      </c>
    </row>
    <row r="4" spans="1:8" ht="12.75" customHeight="1">
      <c r="A4" s="8">
        <v>1</v>
      </c>
      <c r="B4" s="9" t="s">
        <v>8</v>
      </c>
      <c r="C4" s="10" t="s">
        <v>9</v>
      </c>
      <c r="D4" s="11">
        <f>70+60</f>
        <v>130</v>
      </c>
      <c r="E4" s="11">
        <f>48+90</f>
        <v>138</v>
      </c>
      <c r="F4" s="12">
        <f>53+80</f>
        <v>133</v>
      </c>
      <c r="G4" s="13">
        <f aca="true" t="shared" si="0" ref="G4:G35">SUM(D4:F4)</f>
        <v>401</v>
      </c>
      <c r="H4" s="14" t="s">
        <v>10</v>
      </c>
    </row>
    <row r="5" spans="1:20" ht="12.75" customHeight="1">
      <c r="A5" s="15">
        <v>2</v>
      </c>
      <c r="B5" s="16" t="s">
        <v>11</v>
      </c>
      <c r="C5" s="17" t="s">
        <v>12</v>
      </c>
      <c r="D5" s="18">
        <f>67+60</f>
        <v>127</v>
      </c>
      <c r="E5" s="18">
        <f>47+90</f>
        <v>137</v>
      </c>
      <c r="F5" s="19">
        <f>52+80</f>
        <v>132</v>
      </c>
      <c r="G5" s="20">
        <f t="shared" si="0"/>
        <v>396</v>
      </c>
      <c r="H5" s="21" t="s">
        <v>13</v>
      </c>
      <c r="J5" s="22"/>
      <c r="K5" s="23"/>
      <c r="L5" s="23"/>
      <c r="M5" s="24"/>
      <c r="N5" s="25"/>
      <c r="O5" s="24"/>
      <c r="P5" s="25"/>
      <c r="Q5" s="26"/>
      <c r="R5" s="26"/>
      <c r="S5" s="26"/>
      <c r="T5" s="26"/>
    </row>
    <row r="6" spans="1:20" ht="12.75" customHeight="1">
      <c r="A6" s="15">
        <v>3</v>
      </c>
      <c r="B6" s="16" t="s">
        <v>14</v>
      </c>
      <c r="C6" s="17" t="s">
        <v>9</v>
      </c>
      <c r="D6" s="27">
        <f>66+60</f>
        <v>126</v>
      </c>
      <c r="E6" s="27">
        <f>44+90</f>
        <v>134</v>
      </c>
      <c r="F6" s="19">
        <f>51+80</f>
        <v>131</v>
      </c>
      <c r="G6" s="20">
        <f t="shared" si="0"/>
        <v>391</v>
      </c>
      <c r="H6" s="21" t="s">
        <v>15</v>
      </c>
      <c r="J6" s="22"/>
      <c r="K6" s="23"/>
      <c r="L6" s="23"/>
      <c r="M6" s="24"/>
      <c r="N6" s="25"/>
      <c r="O6" s="24"/>
      <c r="P6" s="25"/>
      <c r="Q6" s="26"/>
      <c r="R6" s="26"/>
      <c r="S6" s="26"/>
      <c r="T6" s="26"/>
    </row>
    <row r="7" spans="1:20" ht="12.75" customHeight="1">
      <c r="A7" s="15">
        <v>5</v>
      </c>
      <c r="B7" s="16" t="s">
        <v>16</v>
      </c>
      <c r="C7" s="17" t="s">
        <v>17</v>
      </c>
      <c r="D7" s="27">
        <f>69+60</f>
        <v>129</v>
      </c>
      <c r="E7" s="27">
        <f>46+90</f>
        <v>136</v>
      </c>
      <c r="F7" s="19">
        <f>45+80</f>
        <v>125</v>
      </c>
      <c r="G7" s="20">
        <f t="shared" si="0"/>
        <v>390</v>
      </c>
      <c r="H7" s="21" t="s">
        <v>18</v>
      </c>
      <c r="J7" s="22"/>
      <c r="K7" s="23"/>
      <c r="L7" s="23"/>
      <c r="M7" s="24"/>
      <c r="N7" s="28"/>
      <c r="O7" s="24"/>
      <c r="P7" s="28"/>
      <c r="Q7" s="26"/>
      <c r="R7" s="26"/>
      <c r="S7" s="26"/>
      <c r="T7" s="26"/>
    </row>
    <row r="8" spans="1:20" ht="12.75" customHeight="1">
      <c r="A8" s="15">
        <v>6</v>
      </c>
      <c r="B8" s="16" t="s">
        <v>19</v>
      </c>
      <c r="C8" s="17" t="s">
        <v>20</v>
      </c>
      <c r="D8" s="18">
        <f>65+60</f>
        <v>125</v>
      </c>
      <c r="E8" s="18">
        <f>43+90</f>
        <v>133</v>
      </c>
      <c r="F8" s="19">
        <f>50+80</f>
        <v>130</v>
      </c>
      <c r="G8" s="20">
        <f t="shared" si="0"/>
        <v>388</v>
      </c>
      <c r="H8" s="21" t="s">
        <v>21</v>
      </c>
      <c r="J8" s="22"/>
      <c r="K8" s="23"/>
      <c r="L8" s="23"/>
      <c r="M8" s="24"/>
      <c r="N8" s="28"/>
      <c r="O8" s="24"/>
      <c r="P8" s="28"/>
      <c r="Q8" s="26"/>
      <c r="R8" s="26"/>
      <c r="S8" s="26"/>
      <c r="T8" s="26"/>
    </row>
    <row r="9" spans="1:20" ht="12.75" customHeight="1">
      <c r="A9" s="15">
        <v>7</v>
      </c>
      <c r="B9" s="16" t="s">
        <v>22</v>
      </c>
      <c r="C9" s="17" t="s">
        <v>12</v>
      </c>
      <c r="D9" s="27">
        <f>68+60</f>
        <v>128</v>
      </c>
      <c r="E9" s="27">
        <f>39+90</f>
        <v>129</v>
      </c>
      <c r="F9" s="19">
        <f>49+80</f>
        <v>129</v>
      </c>
      <c r="G9" s="20">
        <f t="shared" si="0"/>
        <v>386</v>
      </c>
      <c r="H9" s="21" t="s">
        <v>23</v>
      </c>
      <c r="J9" s="22"/>
      <c r="K9" s="23"/>
      <c r="L9" s="23"/>
      <c r="M9" s="24"/>
      <c r="N9" s="28"/>
      <c r="O9" s="24"/>
      <c r="P9" s="28"/>
      <c r="Q9" s="26"/>
      <c r="R9" s="26"/>
      <c r="S9" s="26"/>
      <c r="T9" s="26"/>
    </row>
    <row r="10" spans="1:20" ht="12.75" customHeight="1">
      <c r="A10" s="15">
        <v>8</v>
      </c>
      <c r="B10" s="16" t="s">
        <v>24</v>
      </c>
      <c r="C10" s="17" t="s">
        <v>12</v>
      </c>
      <c r="D10" s="27">
        <f>64+60</f>
        <v>124</v>
      </c>
      <c r="E10" s="27">
        <f>41+90</f>
        <v>131</v>
      </c>
      <c r="F10" s="19">
        <f>48+80</f>
        <v>128</v>
      </c>
      <c r="G10" s="20">
        <f t="shared" si="0"/>
        <v>383</v>
      </c>
      <c r="H10" s="21" t="s">
        <v>25</v>
      </c>
      <c r="J10" s="22"/>
      <c r="K10" s="23"/>
      <c r="L10" s="23"/>
      <c r="M10" s="24"/>
      <c r="N10" s="25"/>
      <c r="O10" s="24"/>
      <c r="P10" s="25"/>
      <c r="Q10" s="26"/>
      <c r="R10" s="26"/>
      <c r="S10" s="26"/>
      <c r="T10" s="26"/>
    </row>
    <row r="11" spans="1:20" ht="12.75" customHeight="1">
      <c r="A11" s="15">
        <v>9</v>
      </c>
      <c r="B11" s="16" t="s">
        <v>26</v>
      </c>
      <c r="C11" s="17" t="s">
        <v>12</v>
      </c>
      <c r="D11" s="27">
        <f>57+60</f>
        <v>117</v>
      </c>
      <c r="E11" s="27">
        <f>45+90</f>
        <v>135</v>
      </c>
      <c r="F11" s="19">
        <f>46+80</f>
        <v>126</v>
      </c>
      <c r="G11" s="20">
        <f t="shared" si="0"/>
        <v>378</v>
      </c>
      <c r="H11" s="21" t="s">
        <v>27</v>
      </c>
      <c r="J11" s="22"/>
      <c r="K11" s="23"/>
      <c r="L11" s="23"/>
      <c r="M11" s="24"/>
      <c r="N11" s="28"/>
      <c r="O11" s="24"/>
      <c r="P11" s="28"/>
      <c r="Q11" s="26"/>
      <c r="R11" s="26"/>
      <c r="S11" s="26"/>
      <c r="T11" s="26"/>
    </row>
    <row r="12" spans="1:20" ht="12.75" customHeight="1">
      <c r="A12" s="15">
        <v>10</v>
      </c>
      <c r="B12" s="16" t="s">
        <v>28</v>
      </c>
      <c r="C12" s="17" t="s">
        <v>12</v>
      </c>
      <c r="D12" s="27">
        <f>56+60</f>
        <v>116</v>
      </c>
      <c r="E12" s="27">
        <f>37+90</f>
        <v>127</v>
      </c>
      <c r="F12" s="19">
        <f>42+80</f>
        <v>122</v>
      </c>
      <c r="G12" s="20">
        <f t="shared" si="0"/>
        <v>365</v>
      </c>
      <c r="H12" s="21" t="s">
        <v>29</v>
      </c>
      <c r="J12" s="22"/>
      <c r="K12" s="23"/>
      <c r="L12" s="23"/>
      <c r="M12" s="24"/>
      <c r="N12" s="28"/>
      <c r="O12" s="24"/>
      <c r="P12" s="28"/>
      <c r="Q12" s="26"/>
      <c r="R12" s="26"/>
      <c r="S12" s="26"/>
      <c r="T12" s="26"/>
    </row>
    <row r="13" spans="1:20" ht="12.75" customHeight="1">
      <c r="A13" s="15">
        <v>11</v>
      </c>
      <c r="B13" s="16" t="s">
        <v>30</v>
      </c>
      <c r="C13" s="17" t="s">
        <v>31</v>
      </c>
      <c r="D13" s="27">
        <f>58+60</f>
        <v>118</v>
      </c>
      <c r="E13" s="27">
        <f>36+90</f>
        <v>126</v>
      </c>
      <c r="F13" s="19">
        <f>37+80</f>
        <v>117</v>
      </c>
      <c r="G13" s="20">
        <f t="shared" si="0"/>
        <v>361</v>
      </c>
      <c r="H13" s="21" t="s">
        <v>32</v>
      </c>
      <c r="J13" s="22"/>
      <c r="K13" s="23"/>
      <c r="L13" s="23"/>
      <c r="M13" s="29"/>
      <c r="N13" s="29"/>
      <c r="O13" s="29"/>
      <c r="P13" s="29"/>
      <c r="Q13" s="29"/>
      <c r="R13" s="26"/>
      <c r="S13" s="26"/>
      <c r="T13" s="26"/>
    </row>
    <row r="14" spans="1:20" ht="12.75" customHeight="1">
      <c r="A14" s="15">
        <v>12</v>
      </c>
      <c r="B14" s="16" t="s">
        <v>33</v>
      </c>
      <c r="C14" s="17" t="s">
        <v>12</v>
      </c>
      <c r="D14" s="27">
        <f>62+60</f>
        <v>122</v>
      </c>
      <c r="E14" s="27">
        <f>32+90</f>
        <v>122</v>
      </c>
      <c r="F14" s="19">
        <f>36+80</f>
        <v>116</v>
      </c>
      <c r="G14" s="20">
        <f t="shared" si="0"/>
        <v>360</v>
      </c>
      <c r="H14" s="21" t="s">
        <v>34</v>
      </c>
      <c r="J14" s="22"/>
      <c r="K14" s="23"/>
      <c r="L14" s="23"/>
      <c r="M14" s="29"/>
      <c r="N14" s="29"/>
      <c r="O14" s="29"/>
      <c r="P14" s="29"/>
      <c r="Q14" s="29"/>
      <c r="R14" s="26"/>
      <c r="S14" s="26"/>
      <c r="T14" s="26"/>
    </row>
    <row r="15" spans="1:20" ht="12.75" customHeight="1">
      <c r="A15" s="15">
        <v>13</v>
      </c>
      <c r="B15" s="16" t="s">
        <v>35</v>
      </c>
      <c r="C15" s="17" t="s">
        <v>36</v>
      </c>
      <c r="D15" s="27">
        <f>55+60</f>
        <v>115</v>
      </c>
      <c r="E15" s="27">
        <f>33+90</f>
        <v>123</v>
      </c>
      <c r="F15" s="19">
        <f>40+80</f>
        <v>120</v>
      </c>
      <c r="G15" s="20">
        <f t="shared" si="0"/>
        <v>358</v>
      </c>
      <c r="H15" s="21" t="s">
        <v>37</v>
      </c>
      <c r="J15" s="22"/>
      <c r="K15" s="23"/>
      <c r="L15" s="23"/>
      <c r="M15" s="29"/>
      <c r="N15" s="29"/>
      <c r="O15" s="29"/>
      <c r="P15" s="29"/>
      <c r="Q15" s="29"/>
      <c r="R15" s="26"/>
      <c r="S15" s="26"/>
      <c r="T15" s="26"/>
    </row>
    <row r="16" spans="1:20" ht="12.75" customHeight="1">
      <c r="A16" s="15">
        <v>14</v>
      </c>
      <c r="B16" s="16" t="s">
        <v>38</v>
      </c>
      <c r="C16" s="17" t="s">
        <v>20</v>
      </c>
      <c r="D16" s="18">
        <f>42+60</f>
        <v>102</v>
      </c>
      <c r="E16" s="30">
        <f>28+90</f>
        <v>118</v>
      </c>
      <c r="F16" s="19">
        <f>41+80</f>
        <v>121</v>
      </c>
      <c r="G16" s="20">
        <f t="shared" si="0"/>
        <v>341</v>
      </c>
      <c r="H16" s="21" t="s">
        <v>39</v>
      </c>
      <c r="J16" s="22"/>
      <c r="K16" s="23"/>
      <c r="L16" s="23"/>
      <c r="M16" s="29"/>
      <c r="N16" s="29"/>
      <c r="O16" s="29"/>
      <c r="P16" s="29"/>
      <c r="Q16" s="29"/>
      <c r="R16" s="26"/>
      <c r="S16" s="26"/>
      <c r="T16" s="26"/>
    </row>
    <row r="17" spans="1:20" ht="12.75" customHeight="1">
      <c r="A17" s="15">
        <v>15</v>
      </c>
      <c r="B17" s="16" t="s">
        <v>40</v>
      </c>
      <c r="C17" s="17" t="s">
        <v>36</v>
      </c>
      <c r="D17" s="27">
        <f>34+60</f>
        <v>94</v>
      </c>
      <c r="E17" s="27">
        <f>26+90</f>
        <v>116</v>
      </c>
      <c r="F17" s="19">
        <f>39+80</f>
        <v>119</v>
      </c>
      <c r="G17" s="20">
        <f t="shared" si="0"/>
        <v>329</v>
      </c>
      <c r="H17" s="21" t="s">
        <v>41</v>
      </c>
      <c r="J17" s="22"/>
      <c r="K17" s="23"/>
      <c r="L17" s="23"/>
      <c r="M17" s="29"/>
      <c r="N17" s="29"/>
      <c r="O17" s="29"/>
      <c r="P17" s="29"/>
      <c r="Q17" s="29"/>
      <c r="R17" s="26"/>
      <c r="S17" s="26"/>
      <c r="T17" s="26"/>
    </row>
    <row r="18" spans="1:20" ht="12.75" customHeight="1">
      <c r="A18" s="15">
        <v>16</v>
      </c>
      <c r="B18" s="16" t="s">
        <v>42</v>
      </c>
      <c r="C18" s="17" t="s">
        <v>43</v>
      </c>
      <c r="D18" s="27">
        <f>40+60</f>
        <v>100</v>
      </c>
      <c r="E18" s="27">
        <f>21+90</f>
        <v>111</v>
      </c>
      <c r="F18" s="19">
        <f>26+80</f>
        <v>106</v>
      </c>
      <c r="G18" s="20">
        <f t="shared" si="0"/>
        <v>317</v>
      </c>
      <c r="H18" s="21" t="s">
        <v>44</v>
      </c>
      <c r="J18" s="22"/>
      <c r="K18" s="23"/>
      <c r="L18" s="23"/>
      <c r="M18" s="29"/>
      <c r="N18" s="29"/>
      <c r="O18" s="29"/>
      <c r="P18" s="29"/>
      <c r="Q18" s="29"/>
      <c r="R18" s="26"/>
      <c r="S18" s="26"/>
      <c r="T18" s="26"/>
    </row>
    <row r="19" spans="1:20" ht="12.75" customHeight="1">
      <c r="A19" s="15">
        <v>17</v>
      </c>
      <c r="B19" s="16" t="s">
        <v>45</v>
      </c>
      <c r="C19" s="17" t="s">
        <v>12</v>
      </c>
      <c r="D19" s="27">
        <f>29+60</f>
        <v>89</v>
      </c>
      <c r="E19" s="27">
        <f>27+90</f>
        <v>117</v>
      </c>
      <c r="F19" s="19">
        <f>27+80</f>
        <v>107</v>
      </c>
      <c r="G19" s="20">
        <f t="shared" si="0"/>
        <v>313</v>
      </c>
      <c r="H19" s="21" t="s">
        <v>46</v>
      </c>
      <c r="J19" s="22"/>
      <c r="K19" s="23"/>
      <c r="L19" s="23"/>
      <c r="M19" s="29"/>
      <c r="N19" s="29"/>
      <c r="O19" s="29"/>
      <c r="P19" s="29"/>
      <c r="Q19" s="29"/>
      <c r="R19" s="26"/>
      <c r="S19" s="26"/>
      <c r="T19" s="26"/>
    </row>
    <row r="20" spans="1:20" ht="12.75" customHeight="1">
      <c r="A20" s="15">
        <v>18</v>
      </c>
      <c r="B20" s="16" t="s">
        <v>47</v>
      </c>
      <c r="C20" s="17" t="s">
        <v>48</v>
      </c>
      <c r="D20" s="27">
        <f>25+60</f>
        <v>85</v>
      </c>
      <c r="E20" s="27">
        <f>13+90</f>
        <v>103</v>
      </c>
      <c r="F20" s="19">
        <f>14+80</f>
        <v>94</v>
      </c>
      <c r="G20" s="20">
        <f t="shared" si="0"/>
        <v>282</v>
      </c>
      <c r="H20" s="21" t="s">
        <v>49</v>
      </c>
      <c r="J20" s="22"/>
      <c r="K20" s="23"/>
      <c r="L20" s="23"/>
      <c r="M20" s="29"/>
      <c r="N20" s="29"/>
      <c r="O20" s="29"/>
      <c r="P20" s="29"/>
      <c r="Q20" s="29"/>
      <c r="R20" s="26"/>
      <c r="S20" s="26"/>
      <c r="T20" s="26"/>
    </row>
    <row r="21" spans="1:20" ht="12.75" customHeight="1">
      <c r="A21" s="15">
        <v>19</v>
      </c>
      <c r="B21" s="16" t="s">
        <v>50</v>
      </c>
      <c r="C21" s="17" t="s">
        <v>12</v>
      </c>
      <c r="D21" s="27">
        <f>23+60</f>
        <v>83</v>
      </c>
      <c r="E21" s="27">
        <f>9+90</f>
        <v>99</v>
      </c>
      <c r="F21" s="19">
        <f>13+80</f>
        <v>93</v>
      </c>
      <c r="G21" s="20">
        <f t="shared" si="0"/>
        <v>275</v>
      </c>
      <c r="H21" s="21" t="s">
        <v>51</v>
      </c>
      <c r="M21" s="29"/>
      <c r="N21" s="29"/>
      <c r="O21" s="29"/>
      <c r="P21" s="29"/>
      <c r="Q21" s="29"/>
      <c r="R21" s="26"/>
      <c r="S21" s="26"/>
      <c r="T21" s="26"/>
    </row>
    <row r="22" spans="1:20" ht="12.75" customHeight="1">
      <c r="A22" s="15">
        <v>20</v>
      </c>
      <c r="B22" s="16" t="s">
        <v>52</v>
      </c>
      <c r="C22" s="17" t="s">
        <v>53</v>
      </c>
      <c r="D22" s="27">
        <f>17+60</f>
        <v>77</v>
      </c>
      <c r="E22" s="27">
        <f>8+90</f>
        <v>98</v>
      </c>
      <c r="F22" s="19">
        <f>10+80</f>
        <v>90</v>
      </c>
      <c r="G22" s="20">
        <f t="shared" si="0"/>
        <v>265</v>
      </c>
      <c r="H22" s="21" t="s">
        <v>54</v>
      </c>
      <c r="M22" s="29"/>
      <c r="N22" s="29"/>
      <c r="O22" s="29"/>
      <c r="P22" s="29"/>
      <c r="Q22" s="29"/>
      <c r="R22" s="26"/>
      <c r="S22" s="26"/>
      <c r="T22" s="26"/>
    </row>
    <row r="23" spans="1:20" ht="12.75" customHeight="1">
      <c r="A23" s="15">
        <v>21</v>
      </c>
      <c r="B23" s="16" t="s">
        <v>55</v>
      </c>
      <c r="C23" s="17" t="s">
        <v>56</v>
      </c>
      <c r="D23" s="27">
        <f>8+60</f>
        <v>68</v>
      </c>
      <c r="E23" s="27">
        <f>7+90</f>
        <v>97</v>
      </c>
      <c r="F23" s="19">
        <f>7+80</f>
        <v>87</v>
      </c>
      <c r="G23" s="20">
        <f t="shared" si="0"/>
        <v>252</v>
      </c>
      <c r="H23" s="21" t="s">
        <v>57</v>
      </c>
      <c r="M23" s="29"/>
      <c r="N23" s="29"/>
      <c r="O23" s="29"/>
      <c r="P23" s="29"/>
      <c r="Q23" s="29"/>
      <c r="R23" s="26"/>
      <c r="S23" s="26"/>
      <c r="T23" s="26"/>
    </row>
    <row r="24" spans="1:20" ht="12.75" customHeight="1">
      <c r="A24" s="15">
        <v>22</v>
      </c>
      <c r="B24" s="16" t="s">
        <v>58</v>
      </c>
      <c r="C24" s="17" t="s">
        <v>53</v>
      </c>
      <c r="D24" s="27">
        <f>10+60</f>
        <v>70</v>
      </c>
      <c r="E24" s="27">
        <f>3+90</f>
        <v>93</v>
      </c>
      <c r="F24" s="19">
        <f>3+80</f>
        <v>83</v>
      </c>
      <c r="G24" s="20">
        <f t="shared" si="0"/>
        <v>246</v>
      </c>
      <c r="H24" s="21" t="s">
        <v>59</v>
      </c>
      <c r="M24" s="29"/>
      <c r="N24" s="29"/>
      <c r="O24" s="29"/>
      <c r="P24" s="29"/>
      <c r="Q24" s="29"/>
      <c r="R24" s="26"/>
      <c r="S24" s="26"/>
      <c r="T24" s="26"/>
    </row>
    <row r="25" spans="1:20" ht="12.75" customHeight="1">
      <c r="A25" s="15">
        <v>23</v>
      </c>
      <c r="B25" s="16" t="s">
        <v>60</v>
      </c>
      <c r="C25" s="17" t="s">
        <v>61</v>
      </c>
      <c r="D25" s="27">
        <f>7+60</f>
        <v>67</v>
      </c>
      <c r="E25" s="27">
        <f>1+90</f>
        <v>91</v>
      </c>
      <c r="F25" s="19">
        <f>4+80</f>
        <v>84</v>
      </c>
      <c r="G25" s="20">
        <f t="shared" si="0"/>
        <v>242</v>
      </c>
      <c r="H25" s="21" t="s">
        <v>62</v>
      </c>
      <c r="M25" s="29"/>
      <c r="N25" s="29"/>
      <c r="O25" s="29"/>
      <c r="P25" s="29"/>
      <c r="Q25" s="29"/>
      <c r="R25" s="26"/>
      <c r="S25" s="26"/>
      <c r="T25" s="26"/>
    </row>
    <row r="26" spans="1:20" ht="12.75" customHeight="1">
      <c r="A26" s="15">
        <v>24</v>
      </c>
      <c r="B26" s="31" t="s">
        <v>63</v>
      </c>
      <c r="C26" s="32" t="s">
        <v>64</v>
      </c>
      <c r="D26" s="33"/>
      <c r="E26" s="34">
        <f>42+90</f>
        <v>132</v>
      </c>
      <c r="F26" s="35">
        <f>44+80</f>
        <v>124</v>
      </c>
      <c r="G26" s="20">
        <f t="shared" si="0"/>
        <v>256</v>
      </c>
      <c r="H26" s="36"/>
      <c r="M26" s="29"/>
      <c r="N26" s="29"/>
      <c r="O26" s="29"/>
      <c r="P26" s="29"/>
      <c r="Q26" s="29"/>
      <c r="R26" s="26"/>
      <c r="S26" s="26"/>
      <c r="T26" s="26"/>
    </row>
    <row r="27" spans="1:20" ht="12.75" customHeight="1">
      <c r="A27" s="15">
        <v>25</v>
      </c>
      <c r="B27" s="31" t="s">
        <v>65</v>
      </c>
      <c r="C27" s="32" t="s">
        <v>12</v>
      </c>
      <c r="D27" s="33">
        <f>61+60</f>
        <v>121</v>
      </c>
      <c r="E27" s="34">
        <f>38+90</f>
        <v>128</v>
      </c>
      <c r="F27" s="35"/>
      <c r="G27" s="20">
        <f t="shared" si="0"/>
        <v>249</v>
      </c>
      <c r="H27" s="36"/>
      <c r="M27" s="29"/>
      <c r="N27" s="29"/>
      <c r="O27" s="29"/>
      <c r="P27" s="29"/>
      <c r="Q27" s="29"/>
      <c r="R27" s="26"/>
      <c r="S27" s="26"/>
      <c r="T27" s="26"/>
    </row>
    <row r="28" spans="1:20" ht="12.75" customHeight="1">
      <c r="A28" s="15">
        <v>26</v>
      </c>
      <c r="B28" s="31" t="s">
        <v>66</v>
      </c>
      <c r="C28" s="32" t="s">
        <v>12</v>
      </c>
      <c r="D28" s="37">
        <f>54+60</f>
        <v>114</v>
      </c>
      <c r="E28" s="37">
        <f>31+90</f>
        <v>121</v>
      </c>
      <c r="F28" s="35"/>
      <c r="G28" s="20">
        <f t="shared" si="0"/>
        <v>235</v>
      </c>
      <c r="H28" s="36"/>
      <c r="M28" s="29"/>
      <c r="N28" s="29"/>
      <c r="O28" s="29"/>
      <c r="P28" s="29"/>
      <c r="Q28" s="29"/>
      <c r="R28" s="26"/>
      <c r="S28" s="26"/>
      <c r="T28" s="26"/>
    </row>
    <row r="29" spans="1:20" ht="12.75" customHeight="1">
      <c r="A29" s="15">
        <v>27</v>
      </c>
      <c r="B29" s="31" t="s">
        <v>67</v>
      </c>
      <c r="C29" s="32" t="s">
        <v>68</v>
      </c>
      <c r="D29" s="33">
        <f>51+60</f>
        <v>111</v>
      </c>
      <c r="E29" s="34">
        <f>30+90</f>
        <v>120</v>
      </c>
      <c r="F29" s="35"/>
      <c r="G29" s="20">
        <f t="shared" si="0"/>
        <v>231</v>
      </c>
      <c r="H29" s="36"/>
      <c r="M29" s="29"/>
      <c r="N29" s="29"/>
      <c r="O29" s="29"/>
      <c r="P29" s="29"/>
      <c r="Q29" s="29"/>
      <c r="R29" s="26"/>
      <c r="S29" s="26"/>
      <c r="T29" s="26"/>
    </row>
    <row r="30" spans="1:20" ht="12.75" customHeight="1">
      <c r="A30" s="15">
        <v>28</v>
      </c>
      <c r="B30" s="31" t="s">
        <v>69</v>
      </c>
      <c r="C30" s="32" t="s">
        <v>56</v>
      </c>
      <c r="D30" s="33">
        <f>46+60</f>
        <v>106</v>
      </c>
      <c r="E30" s="34"/>
      <c r="F30" s="35">
        <f>38+80</f>
        <v>118</v>
      </c>
      <c r="G30" s="20">
        <f t="shared" si="0"/>
        <v>224</v>
      </c>
      <c r="H30" s="36"/>
      <c r="M30" s="29"/>
      <c r="N30" s="29"/>
      <c r="O30" s="29"/>
      <c r="P30" s="29"/>
      <c r="Q30" s="29"/>
      <c r="R30" s="26"/>
      <c r="S30" s="26"/>
      <c r="T30" s="26"/>
    </row>
    <row r="31" spans="1:20" ht="12.75" customHeight="1">
      <c r="A31" s="15">
        <v>29</v>
      </c>
      <c r="B31" s="31" t="s">
        <v>70</v>
      </c>
      <c r="C31" s="32" t="s">
        <v>31</v>
      </c>
      <c r="D31" s="33">
        <f>47+60</f>
        <v>107</v>
      </c>
      <c r="E31" s="34"/>
      <c r="F31" s="38">
        <f>35+80</f>
        <v>115</v>
      </c>
      <c r="G31" s="20">
        <f t="shared" si="0"/>
        <v>222</v>
      </c>
      <c r="H31" s="36"/>
      <c r="M31" s="29"/>
      <c r="N31" s="29"/>
      <c r="O31" s="29"/>
      <c r="P31" s="29"/>
      <c r="Q31" s="29"/>
      <c r="R31" s="26"/>
      <c r="S31" s="26"/>
      <c r="T31" s="26"/>
    </row>
    <row r="32" spans="1:20" ht="12.75" customHeight="1">
      <c r="A32" s="15">
        <v>30</v>
      </c>
      <c r="B32" s="31" t="s">
        <v>71</v>
      </c>
      <c r="C32" s="32" t="s">
        <v>72</v>
      </c>
      <c r="D32" s="37">
        <f>49+60</f>
        <v>109</v>
      </c>
      <c r="E32" s="39"/>
      <c r="F32" s="35">
        <f>33+80</f>
        <v>113</v>
      </c>
      <c r="G32" s="20">
        <f t="shared" si="0"/>
        <v>222</v>
      </c>
      <c r="H32" s="36"/>
      <c r="M32" s="29"/>
      <c r="N32" s="29"/>
      <c r="O32" s="29"/>
      <c r="P32" s="29"/>
      <c r="Q32" s="29"/>
      <c r="R32" s="26"/>
      <c r="S32" s="26"/>
      <c r="T32" s="26"/>
    </row>
    <row r="33" spans="1:20" ht="12.75" customHeight="1">
      <c r="A33" s="15">
        <v>31</v>
      </c>
      <c r="B33" s="31" t="s">
        <v>73</v>
      </c>
      <c r="C33" s="32" t="s">
        <v>12</v>
      </c>
      <c r="D33" s="37">
        <f>45+60</f>
        <v>105</v>
      </c>
      <c r="E33" s="40">
        <f>23+90</f>
        <v>113</v>
      </c>
      <c r="F33" s="35"/>
      <c r="G33" s="20">
        <f t="shared" si="0"/>
        <v>218</v>
      </c>
      <c r="H33" s="36"/>
      <c r="M33" s="29"/>
      <c r="N33" s="29"/>
      <c r="O33" s="29"/>
      <c r="P33" s="29"/>
      <c r="Q33" s="29"/>
      <c r="R33" s="26"/>
      <c r="S33" s="26"/>
      <c r="T33" s="26"/>
    </row>
    <row r="34" spans="1:20" ht="12.75" customHeight="1">
      <c r="A34" s="15">
        <v>32</v>
      </c>
      <c r="B34" s="31" t="s">
        <v>74</v>
      </c>
      <c r="C34" s="32" t="s">
        <v>12</v>
      </c>
      <c r="D34" s="33">
        <f>31+60</f>
        <v>91</v>
      </c>
      <c r="E34" s="34">
        <f>34+90</f>
        <v>124</v>
      </c>
      <c r="F34" s="38"/>
      <c r="G34" s="20">
        <f t="shared" si="0"/>
        <v>215</v>
      </c>
      <c r="H34" s="36"/>
      <c r="M34" s="29"/>
      <c r="N34" s="29"/>
      <c r="O34" s="29"/>
      <c r="P34" s="29"/>
      <c r="Q34" s="29"/>
      <c r="R34" s="26"/>
      <c r="S34" s="26"/>
      <c r="T34" s="26"/>
    </row>
    <row r="35" spans="1:20" ht="12.75" customHeight="1">
      <c r="A35" s="15">
        <v>33</v>
      </c>
      <c r="B35" s="31" t="s">
        <v>75</v>
      </c>
      <c r="C35" s="32" t="s">
        <v>12</v>
      </c>
      <c r="D35" s="37">
        <f>48+60</f>
        <v>108</v>
      </c>
      <c r="E35" s="37">
        <f>16+90</f>
        <v>106</v>
      </c>
      <c r="F35" s="35"/>
      <c r="G35" s="20">
        <f t="shared" si="0"/>
        <v>214</v>
      </c>
      <c r="H35" s="36"/>
      <c r="J35" s="41"/>
      <c r="K35" s="26"/>
      <c r="L35" s="26"/>
      <c r="M35" s="29"/>
      <c r="N35" s="29"/>
      <c r="O35" s="29"/>
      <c r="P35" s="29"/>
      <c r="Q35" s="29"/>
      <c r="R35" s="26"/>
      <c r="S35" s="26"/>
      <c r="T35" s="26"/>
    </row>
    <row r="36" spans="1:20" ht="12.75" customHeight="1">
      <c r="A36" s="15">
        <v>34</v>
      </c>
      <c r="B36" s="31" t="s">
        <v>76</v>
      </c>
      <c r="C36" s="32" t="s">
        <v>12</v>
      </c>
      <c r="D36" s="33">
        <f>41+60</f>
        <v>101</v>
      </c>
      <c r="E36" s="34">
        <f>20+90</f>
        <v>110</v>
      </c>
      <c r="F36" s="35"/>
      <c r="G36" s="20">
        <f aca="true" t="shared" si="1" ref="G36:G67">SUM(D36:F36)</f>
        <v>211</v>
      </c>
      <c r="H36" s="36"/>
      <c r="I36" s="22"/>
      <c r="L36" s="29"/>
      <c r="M36" s="29"/>
      <c r="N36" s="29"/>
      <c r="O36" s="29"/>
      <c r="P36" s="29"/>
      <c r="Q36" s="29"/>
      <c r="R36" s="26"/>
      <c r="S36" s="26"/>
      <c r="T36" s="26"/>
    </row>
    <row r="37" spans="1:20" ht="12.75" customHeight="1">
      <c r="A37" s="15">
        <v>35</v>
      </c>
      <c r="B37" s="31" t="s">
        <v>77</v>
      </c>
      <c r="C37" s="32" t="s">
        <v>48</v>
      </c>
      <c r="D37" s="33">
        <f>43+60</f>
        <v>103</v>
      </c>
      <c r="E37" s="34">
        <f>17+90</f>
        <v>107</v>
      </c>
      <c r="F37" s="35"/>
      <c r="G37" s="20">
        <f t="shared" si="1"/>
        <v>210</v>
      </c>
      <c r="H37" s="36"/>
      <c r="I37" s="22"/>
      <c r="J37" s="23"/>
      <c r="K37" s="23"/>
      <c r="L37" s="26"/>
      <c r="M37" s="29"/>
      <c r="N37" s="29"/>
      <c r="O37" s="29"/>
      <c r="P37" s="29"/>
      <c r="Q37" s="29"/>
      <c r="R37" s="26"/>
      <c r="S37" s="26"/>
      <c r="T37" s="26"/>
    </row>
    <row r="38" spans="1:20" ht="12.75" customHeight="1">
      <c r="A38" s="15">
        <v>36</v>
      </c>
      <c r="B38" s="31" t="s">
        <v>78</v>
      </c>
      <c r="C38" s="32" t="s">
        <v>12</v>
      </c>
      <c r="D38" s="33">
        <f>39+60</f>
        <v>99</v>
      </c>
      <c r="E38" s="34">
        <f>19+90</f>
        <v>109</v>
      </c>
      <c r="F38" s="35"/>
      <c r="G38" s="20">
        <f t="shared" si="1"/>
        <v>208</v>
      </c>
      <c r="H38" s="36"/>
      <c r="I38" s="22"/>
      <c r="J38" s="23"/>
      <c r="K38" s="23"/>
      <c r="L38" s="26"/>
      <c r="M38" s="29"/>
      <c r="N38" s="29"/>
      <c r="O38" s="29"/>
      <c r="P38" s="29"/>
      <c r="Q38" s="29"/>
      <c r="R38" s="26"/>
      <c r="S38" s="26"/>
      <c r="T38" s="26"/>
    </row>
    <row r="39" spans="1:20" ht="12.75" customHeight="1">
      <c r="A39" s="15">
        <v>37</v>
      </c>
      <c r="B39" s="31" t="s">
        <v>79</v>
      </c>
      <c r="C39" s="32" t="s">
        <v>20</v>
      </c>
      <c r="D39" s="37">
        <v>71</v>
      </c>
      <c r="E39" s="33"/>
      <c r="F39" s="35">
        <f>54+80</f>
        <v>134</v>
      </c>
      <c r="G39" s="20">
        <f t="shared" si="1"/>
        <v>205</v>
      </c>
      <c r="H39" s="36"/>
      <c r="I39" s="22"/>
      <c r="J39" s="23"/>
      <c r="K39" s="23"/>
      <c r="L39" s="29"/>
      <c r="M39" s="29"/>
      <c r="N39" s="29"/>
      <c r="O39" s="29"/>
      <c r="P39" s="29"/>
      <c r="Q39" s="29"/>
      <c r="R39" s="26"/>
      <c r="S39" s="26"/>
      <c r="T39" s="26"/>
    </row>
    <row r="40" spans="1:20" ht="12.75" customHeight="1">
      <c r="A40" s="15">
        <v>38</v>
      </c>
      <c r="B40" s="31" t="s">
        <v>80</v>
      </c>
      <c r="C40" s="32" t="s">
        <v>9</v>
      </c>
      <c r="D40" s="37">
        <f>33+60</f>
        <v>93</v>
      </c>
      <c r="E40" s="39"/>
      <c r="F40" s="35">
        <f>23+80</f>
        <v>103</v>
      </c>
      <c r="G40" s="20">
        <f t="shared" si="1"/>
        <v>196</v>
      </c>
      <c r="H40" s="36"/>
      <c r="I40" s="22"/>
      <c r="J40" s="23"/>
      <c r="K40" s="23"/>
      <c r="L40" s="29"/>
      <c r="M40" s="29"/>
      <c r="N40" s="29"/>
      <c r="O40" s="29"/>
      <c r="P40" s="29"/>
      <c r="Q40" s="29"/>
      <c r="R40" s="26"/>
      <c r="S40" s="26"/>
      <c r="T40" s="26"/>
    </row>
    <row r="41" spans="1:20" ht="12.75" customHeight="1">
      <c r="A41" s="15">
        <v>39</v>
      </c>
      <c r="B41" s="31" t="s">
        <v>81</v>
      </c>
      <c r="C41" s="32" t="s">
        <v>56</v>
      </c>
      <c r="D41" s="37">
        <f>37+60</f>
        <v>97</v>
      </c>
      <c r="E41" s="39"/>
      <c r="F41" s="35">
        <f>18+80</f>
        <v>98</v>
      </c>
      <c r="G41" s="20">
        <f t="shared" si="1"/>
        <v>195</v>
      </c>
      <c r="H41" s="36"/>
      <c r="I41" s="22"/>
      <c r="J41" s="23"/>
      <c r="K41" s="23"/>
      <c r="L41" s="29"/>
      <c r="M41" s="29"/>
      <c r="N41" s="29"/>
      <c r="O41" s="29"/>
      <c r="P41" s="29"/>
      <c r="Q41" s="29"/>
      <c r="R41" s="26"/>
      <c r="S41" s="26"/>
      <c r="T41" s="26"/>
    </row>
    <row r="42" spans="1:20" ht="12.75" customHeight="1">
      <c r="A42" s="15">
        <v>40</v>
      </c>
      <c r="B42" s="31" t="s">
        <v>82</v>
      </c>
      <c r="C42" s="32" t="s">
        <v>12</v>
      </c>
      <c r="D42" s="33">
        <f>28+60</f>
        <v>88</v>
      </c>
      <c r="E42" s="34">
        <f>14+90</f>
        <v>104</v>
      </c>
      <c r="F42" s="35"/>
      <c r="G42" s="20">
        <f t="shared" si="1"/>
        <v>192</v>
      </c>
      <c r="H42" s="36"/>
      <c r="I42" s="22"/>
      <c r="J42" s="23"/>
      <c r="K42" s="23"/>
      <c r="L42" s="29"/>
      <c r="M42" s="29"/>
      <c r="N42" s="29"/>
      <c r="O42" s="29"/>
      <c r="P42" s="29"/>
      <c r="Q42" s="29"/>
      <c r="R42" s="26"/>
      <c r="S42" s="26"/>
      <c r="T42" s="26"/>
    </row>
    <row r="43" spans="1:20" ht="12.75" customHeight="1">
      <c r="A43" s="15">
        <v>41</v>
      </c>
      <c r="B43" s="31" t="s">
        <v>83</v>
      </c>
      <c r="C43" s="32" t="s">
        <v>43</v>
      </c>
      <c r="D43" s="33">
        <f>30+60</f>
        <v>90</v>
      </c>
      <c r="E43" s="34">
        <f>11+90</f>
        <v>101</v>
      </c>
      <c r="F43" s="38"/>
      <c r="G43" s="20">
        <f t="shared" si="1"/>
        <v>191</v>
      </c>
      <c r="H43" s="36"/>
      <c r="I43" s="22"/>
      <c r="J43" s="23"/>
      <c r="K43" s="23"/>
      <c r="L43" s="26"/>
      <c r="M43" s="29"/>
      <c r="N43" s="29"/>
      <c r="O43" s="29"/>
      <c r="P43" s="29"/>
      <c r="Q43" s="29"/>
      <c r="R43" s="26"/>
      <c r="S43" s="26"/>
      <c r="T43" s="26"/>
    </row>
    <row r="44" spans="1:20" ht="12.75" customHeight="1">
      <c r="A44" s="15">
        <v>42</v>
      </c>
      <c r="B44" s="31" t="s">
        <v>84</v>
      </c>
      <c r="C44" s="32" t="s">
        <v>9</v>
      </c>
      <c r="D44" s="37">
        <f>26+60</f>
        <v>86</v>
      </c>
      <c r="E44" s="40">
        <f>15+90</f>
        <v>105</v>
      </c>
      <c r="F44" s="35"/>
      <c r="G44" s="20">
        <f t="shared" si="1"/>
        <v>191</v>
      </c>
      <c r="H44" s="36"/>
      <c r="I44" s="22"/>
      <c r="J44" s="23"/>
      <c r="K44" s="23"/>
      <c r="L44" s="26"/>
      <c r="M44" s="29"/>
      <c r="N44" s="29"/>
      <c r="O44" s="29"/>
      <c r="P44" s="29"/>
      <c r="Q44" s="29"/>
      <c r="R44" s="26"/>
      <c r="S44" s="26"/>
      <c r="T44" s="26"/>
    </row>
    <row r="45" spans="1:20" ht="12.75" customHeight="1">
      <c r="A45" s="15">
        <v>43</v>
      </c>
      <c r="B45" s="31" t="s">
        <v>85</v>
      </c>
      <c r="C45" s="32" t="s">
        <v>48</v>
      </c>
      <c r="D45" s="37">
        <f>22+60</f>
        <v>82</v>
      </c>
      <c r="E45" s="40">
        <f>18+90</f>
        <v>108</v>
      </c>
      <c r="F45" s="35"/>
      <c r="G45" s="20">
        <f t="shared" si="1"/>
        <v>190</v>
      </c>
      <c r="H45" s="36"/>
      <c r="I45" s="22"/>
      <c r="J45" s="23"/>
      <c r="K45" s="23"/>
      <c r="L45" s="26"/>
      <c r="M45" s="29"/>
      <c r="N45" s="29"/>
      <c r="O45" s="29"/>
      <c r="P45" s="29"/>
      <c r="Q45" s="29"/>
      <c r="R45" s="26"/>
      <c r="S45" s="26"/>
      <c r="T45" s="26"/>
    </row>
    <row r="46" spans="1:20" ht="12.75" customHeight="1">
      <c r="A46" s="15">
        <v>44</v>
      </c>
      <c r="B46" s="31" t="s">
        <v>86</v>
      </c>
      <c r="C46" s="32" t="s">
        <v>48</v>
      </c>
      <c r="D46" s="33">
        <f>36+60</f>
        <v>96</v>
      </c>
      <c r="E46" s="34"/>
      <c r="F46" s="35">
        <f>11+80</f>
        <v>91</v>
      </c>
      <c r="G46" s="20">
        <f t="shared" si="1"/>
        <v>187</v>
      </c>
      <c r="H46" s="36"/>
      <c r="I46" s="22"/>
      <c r="J46" s="23"/>
      <c r="K46" s="23"/>
      <c r="L46" s="29"/>
      <c r="M46" s="29"/>
      <c r="N46" s="29"/>
      <c r="O46" s="29"/>
      <c r="P46" s="29"/>
      <c r="Q46" s="29"/>
      <c r="R46" s="26"/>
      <c r="S46" s="26"/>
      <c r="T46" s="26"/>
    </row>
    <row r="47" spans="1:20" ht="12.75" customHeight="1">
      <c r="A47" s="15">
        <v>45</v>
      </c>
      <c r="B47" s="31" t="s">
        <v>87</v>
      </c>
      <c r="C47" s="32" t="s">
        <v>12</v>
      </c>
      <c r="D47" s="37">
        <f>4+60</f>
        <v>64</v>
      </c>
      <c r="E47" s="37">
        <f>29+90</f>
        <v>119</v>
      </c>
      <c r="F47" s="35"/>
      <c r="G47" s="20">
        <f t="shared" si="1"/>
        <v>183</v>
      </c>
      <c r="H47" s="36"/>
      <c r="I47" s="22"/>
      <c r="J47" s="23"/>
      <c r="K47" s="23"/>
      <c r="L47" s="26"/>
      <c r="M47" s="29"/>
      <c r="N47" s="29"/>
      <c r="O47" s="29"/>
      <c r="P47" s="29"/>
      <c r="Q47" s="29"/>
      <c r="R47" s="26"/>
      <c r="S47" s="26"/>
      <c r="T47" s="26"/>
    </row>
    <row r="48" spans="1:20" ht="12.75" customHeight="1">
      <c r="A48" s="15">
        <v>46</v>
      </c>
      <c r="B48" s="31" t="s">
        <v>88</v>
      </c>
      <c r="C48" s="32" t="s">
        <v>56</v>
      </c>
      <c r="D48" s="33">
        <f>21+60</f>
        <v>81</v>
      </c>
      <c r="E48" s="34"/>
      <c r="F48" s="35">
        <f>17+80</f>
        <v>97</v>
      </c>
      <c r="G48" s="20">
        <f t="shared" si="1"/>
        <v>178</v>
      </c>
      <c r="H48" s="36"/>
      <c r="I48" s="22"/>
      <c r="J48" s="23"/>
      <c r="K48" s="23"/>
      <c r="L48" s="26"/>
      <c r="M48" s="26"/>
      <c r="N48" s="26"/>
      <c r="O48" s="26"/>
      <c r="P48" s="26"/>
      <c r="Q48" s="26"/>
      <c r="R48" s="26"/>
      <c r="S48" s="26"/>
      <c r="T48" s="26"/>
    </row>
    <row r="49" spans="1:20" ht="12.75" customHeight="1">
      <c r="A49" s="15">
        <v>47</v>
      </c>
      <c r="B49" s="31" t="s">
        <v>89</v>
      </c>
      <c r="C49" s="32" t="s">
        <v>61</v>
      </c>
      <c r="D49" s="33">
        <f>18+60</f>
        <v>78</v>
      </c>
      <c r="E49" s="34">
        <f>10+90</f>
        <v>100</v>
      </c>
      <c r="F49" s="35"/>
      <c r="G49" s="20">
        <f t="shared" si="1"/>
        <v>178</v>
      </c>
      <c r="H49" s="36"/>
      <c r="I49" s="22"/>
      <c r="J49" s="23"/>
      <c r="K49" s="23"/>
      <c r="L49" s="26"/>
      <c r="M49" s="26"/>
      <c r="N49" s="26"/>
      <c r="O49" s="26"/>
      <c r="P49" s="26"/>
      <c r="Q49" s="26"/>
      <c r="R49" s="26"/>
      <c r="S49" s="26"/>
      <c r="T49" s="26"/>
    </row>
    <row r="50" spans="1:20" ht="12.75" customHeight="1">
      <c r="A50" s="15">
        <v>48</v>
      </c>
      <c r="B50" s="31" t="s">
        <v>90</v>
      </c>
      <c r="C50" s="32" t="s">
        <v>31</v>
      </c>
      <c r="D50" s="33">
        <f>24+60</f>
        <v>84</v>
      </c>
      <c r="E50" s="34"/>
      <c r="F50" s="35">
        <f>12+80</f>
        <v>92</v>
      </c>
      <c r="G50" s="20">
        <f t="shared" si="1"/>
        <v>176</v>
      </c>
      <c r="H50" s="36"/>
      <c r="I50" s="22"/>
      <c r="J50" s="23"/>
      <c r="K50" s="23"/>
      <c r="L50" s="26"/>
      <c r="M50" s="26"/>
      <c r="N50" s="26"/>
      <c r="O50" s="26"/>
      <c r="P50" s="26"/>
      <c r="Q50" s="26"/>
      <c r="R50" s="26"/>
      <c r="S50" s="26"/>
      <c r="T50" s="26"/>
    </row>
    <row r="51" spans="1:20" ht="12.75" customHeight="1">
      <c r="A51" s="15">
        <v>49</v>
      </c>
      <c r="B51" s="31" t="s">
        <v>91</v>
      </c>
      <c r="C51" s="32" t="s">
        <v>36</v>
      </c>
      <c r="D51" s="33">
        <f>12+60</f>
        <v>72</v>
      </c>
      <c r="E51" s="34">
        <f>4+90</f>
        <v>94</v>
      </c>
      <c r="F51" s="35"/>
      <c r="G51" s="20">
        <f t="shared" si="1"/>
        <v>166</v>
      </c>
      <c r="H51" s="3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</row>
    <row r="52" spans="1:20" ht="12.75" customHeight="1">
      <c r="A52" s="15">
        <v>50</v>
      </c>
      <c r="B52" s="31" t="s">
        <v>92</v>
      </c>
      <c r="C52" s="32" t="s">
        <v>93</v>
      </c>
      <c r="D52" s="33">
        <f>11+60</f>
        <v>71</v>
      </c>
      <c r="E52" s="34"/>
      <c r="F52" s="35">
        <f>5+80</f>
        <v>85</v>
      </c>
      <c r="G52" s="20">
        <f t="shared" si="1"/>
        <v>156</v>
      </c>
      <c r="H52" s="3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</row>
    <row r="53" spans="1:20" ht="12.75" customHeight="1">
      <c r="A53" s="15">
        <v>51</v>
      </c>
      <c r="B53" s="31" t="s">
        <v>94</v>
      </c>
      <c r="C53" s="32" t="s">
        <v>9</v>
      </c>
      <c r="D53" s="37">
        <f>1+60</f>
        <v>61</v>
      </c>
      <c r="E53" s="39"/>
      <c r="F53" s="35">
        <f>2+80</f>
        <v>82</v>
      </c>
      <c r="G53" s="20">
        <f t="shared" si="1"/>
        <v>143</v>
      </c>
      <c r="H53" s="3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</row>
    <row r="54" spans="1:20" ht="12.75" customHeight="1">
      <c r="A54" s="15">
        <v>52</v>
      </c>
      <c r="B54" s="31" t="s">
        <v>95</v>
      </c>
      <c r="C54" s="32" t="s">
        <v>12</v>
      </c>
      <c r="D54" s="33"/>
      <c r="E54" s="34">
        <f>40+90</f>
        <v>130</v>
      </c>
      <c r="F54" s="35"/>
      <c r="G54" s="20">
        <f t="shared" si="1"/>
        <v>130</v>
      </c>
      <c r="H54" s="3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</row>
    <row r="55" spans="1:20" ht="12.75" customHeight="1">
      <c r="A55" s="15">
        <v>53</v>
      </c>
      <c r="B55" s="31" t="s">
        <v>96</v>
      </c>
      <c r="C55" s="32" t="s">
        <v>31</v>
      </c>
      <c r="D55" s="33"/>
      <c r="E55" s="34"/>
      <c r="F55" s="35">
        <f>47+80</f>
        <v>127</v>
      </c>
      <c r="G55" s="20">
        <f t="shared" si="1"/>
        <v>127</v>
      </c>
      <c r="H55" s="3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</row>
    <row r="56" spans="1:20" ht="12.75" customHeight="1">
      <c r="A56" s="15">
        <v>54</v>
      </c>
      <c r="B56" s="31" t="s">
        <v>97</v>
      </c>
      <c r="C56" s="32" t="s">
        <v>12</v>
      </c>
      <c r="D56" s="33"/>
      <c r="E56" s="34">
        <f>35+90</f>
        <v>125</v>
      </c>
      <c r="F56" s="38"/>
      <c r="G56" s="20">
        <f t="shared" si="1"/>
        <v>125</v>
      </c>
      <c r="H56" s="3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</row>
    <row r="57" spans="1:20" ht="12.75" customHeight="1">
      <c r="A57" s="15">
        <v>55</v>
      </c>
      <c r="B57" s="42" t="s">
        <v>98</v>
      </c>
      <c r="C57" s="43" t="s">
        <v>99</v>
      </c>
      <c r="D57" s="44"/>
      <c r="E57" s="45"/>
      <c r="F57" s="46">
        <f>43+80</f>
        <v>123</v>
      </c>
      <c r="G57" s="20">
        <f t="shared" si="1"/>
        <v>123</v>
      </c>
      <c r="H57" s="3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</row>
    <row r="58" spans="1:20" ht="12.75" customHeight="1">
      <c r="A58" s="15">
        <v>56</v>
      </c>
      <c r="B58" s="42" t="s">
        <v>100</v>
      </c>
      <c r="C58" s="43" t="s">
        <v>43</v>
      </c>
      <c r="D58" s="47">
        <f>63+60</f>
        <v>123</v>
      </c>
      <c r="E58" s="48"/>
      <c r="F58" s="46"/>
      <c r="G58" s="20">
        <f t="shared" si="1"/>
        <v>123</v>
      </c>
      <c r="H58" s="3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</row>
    <row r="59" spans="1:20" ht="12.75" customHeight="1">
      <c r="A59" s="15">
        <v>57</v>
      </c>
      <c r="B59" s="31" t="s">
        <v>101</v>
      </c>
      <c r="C59" s="32" t="s">
        <v>61</v>
      </c>
      <c r="D59" s="49">
        <f>60+60</f>
        <v>120</v>
      </c>
      <c r="E59" s="50"/>
      <c r="F59" s="35"/>
      <c r="G59" s="20">
        <f t="shared" si="1"/>
        <v>120</v>
      </c>
      <c r="H59" s="3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</row>
    <row r="60" spans="1:20" ht="12.75" customHeight="1">
      <c r="A60" s="15">
        <v>58</v>
      </c>
      <c r="B60" s="31" t="s">
        <v>102</v>
      </c>
      <c r="C60" s="32" t="s">
        <v>61</v>
      </c>
      <c r="D60" s="51">
        <f>59+60</f>
        <v>119</v>
      </c>
      <c r="E60" s="52"/>
      <c r="F60" s="35"/>
      <c r="G60" s="20">
        <f t="shared" si="1"/>
        <v>119</v>
      </c>
      <c r="H60" s="3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</row>
    <row r="61" spans="1:20" ht="12.75" customHeight="1">
      <c r="A61" s="15">
        <v>59</v>
      </c>
      <c r="B61" s="31" t="s">
        <v>103</v>
      </c>
      <c r="C61" s="32" t="s">
        <v>12</v>
      </c>
      <c r="D61" s="51"/>
      <c r="E61" s="52">
        <f>25+90</f>
        <v>115</v>
      </c>
      <c r="F61" s="35"/>
      <c r="G61" s="20">
        <f t="shared" si="1"/>
        <v>115</v>
      </c>
      <c r="H61" s="3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</row>
    <row r="62" spans="1:20" ht="12.75" customHeight="1">
      <c r="A62" s="15">
        <v>60</v>
      </c>
      <c r="B62" s="31" t="s">
        <v>104</v>
      </c>
      <c r="C62" s="32" t="s">
        <v>61</v>
      </c>
      <c r="D62" s="51"/>
      <c r="E62" s="52"/>
      <c r="F62" s="35">
        <f>34+80</f>
        <v>114</v>
      </c>
      <c r="G62" s="20">
        <f t="shared" si="1"/>
        <v>114</v>
      </c>
      <c r="H62" s="3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</row>
    <row r="63" spans="1:8" ht="12.75" customHeight="1">
      <c r="A63" s="15">
        <v>61</v>
      </c>
      <c r="B63" s="31" t="s">
        <v>105</v>
      </c>
      <c r="C63" s="32" t="s">
        <v>106</v>
      </c>
      <c r="D63" s="51"/>
      <c r="E63" s="52">
        <f>24+90</f>
        <v>114</v>
      </c>
      <c r="F63" s="35"/>
      <c r="G63" s="20">
        <f t="shared" si="1"/>
        <v>114</v>
      </c>
      <c r="H63" s="36"/>
    </row>
    <row r="64" spans="1:8" ht="12.75" customHeight="1">
      <c r="A64" s="15">
        <v>62</v>
      </c>
      <c r="B64" s="31" t="s">
        <v>107</v>
      </c>
      <c r="C64" s="32" t="s">
        <v>43</v>
      </c>
      <c r="D64" s="51">
        <f>53+60</f>
        <v>113</v>
      </c>
      <c r="E64" s="52"/>
      <c r="F64" s="35"/>
      <c r="G64" s="20">
        <f t="shared" si="1"/>
        <v>113</v>
      </c>
      <c r="H64" s="36"/>
    </row>
    <row r="65" spans="1:8" ht="12.75" customHeight="1">
      <c r="A65" s="15">
        <v>63</v>
      </c>
      <c r="B65" s="31" t="s">
        <v>108</v>
      </c>
      <c r="C65" s="32" t="s">
        <v>36</v>
      </c>
      <c r="D65" s="51"/>
      <c r="E65" s="52">
        <f>22+90</f>
        <v>112</v>
      </c>
      <c r="F65" s="38"/>
      <c r="G65" s="20">
        <f t="shared" si="1"/>
        <v>112</v>
      </c>
      <c r="H65" s="36"/>
    </row>
    <row r="66" spans="1:8" ht="12.75" customHeight="1">
      <c r="A66" s="15">
        <v>64</v>
      </c>
      <c r="B66" s="31" t="s">
        <v>109</v>
      </c>
      <c r="C66" s="32" t="s">
        <v>43</v>
      </c>
      <c r="D66" s="51">
        <f>52+60</f>
        <v>112</v>
      </c>
      <c r="E66" s="52"/>
      <c r="F66" s="35"/>
      <c r="G66" s="20">
        <f t="shared" si="1"/>
        <v>112</v>
      </c>
      <c r="H66" s="36"/>
    </row>
    <row r="67" spans="1:8" ht="12.75" customHeight="1">
      <c r="A67" s="15">
        <v>65</v>
      </c>
      <c r="B67" s="31" t="s">
        <v>110</v>
      </c>
      <c r="C67" s="32" t="s">
        <v>12</v>
      </c>
      <c r="D67" s="51"/>
      <c r="E67" s="52"/>
      <c r="F67" s="35">
        <f>32+80</f>
        <v>112</v>
      </c>
      <c r="G67" s="20">
        <f t="shared" si="1"/>
        <v>112</v>
      </c>
      <c r="H67" s="36"/>
    </row>
    <row r="68" spans="1:8" ht="12.75" customHeight="1">
      <c r="A68" s="15">
        <v>66</v>
      </c>
      <c r="B68" s="31" t="s">
        <v>111</v>
      </c>
      <c r="C68" s="32" t="s">
        <v>20</v>
      </c>
      <c r="D68" s="51"/>
      <c r="E68" s="52"/>
      <c r="F68" s="35">
        <f>31+80</f>
        <v>111</v>
      </c>
      <c r="G68" s="20">
        <f aca="true" t="shared" si="2" ref="G68:G99">SUM(D68:F68)</f>
        <v>111</v>
      </c>
      <c r="H68" s="36"/>
    </row>
    <row r="69" spans="1:8" ht="12.75" customHeight="1">
      <c r="A69" s="15">
        <v>67</v>
      </c>
      <c r="B69" s="31" t="s">
        <v>112</v>
      </c>
      <c r="C69" s="32" t="s">
        <v>31</v>
      </c>
      <c r="D69" s="51"/>
      <c r="E69" s="52"/>
      <c r="F69" s="38">
        <f>30+80</f>
        <v>110</v>
      </c>
      <c r="G69" s="20">
        <f t="shared" si="2"/>
        <v>110</v>
      </c>
      <c r="H69" s="36"/>
    </row>
    <row r="70" spans="1:8" ht="12.75" customHeight="1">
      <c r="A70" s="15">
        <v>68</v>
      </c>
      <c r="B70" s="31" t="s">
        <v>113</v>
      </c>
      <c r="C70" s="32" t="s">
        <v>48</v>
      </c>
      <c r="D70" s="51">
        <f>50+60</f>
        <v>110</v>
      </c>
      <c r="E70" s="52"/>
      <c r="F70" s="35"/>
      <c r="G70" s="20">
        <f t="shared" si="2"/>
        <v>110</v>
      </c>
      <c r="H70" s="36"/>
    </row>
    <row r="71" spans="1:8" ht="12.75" customHeight="1">
      <c r="A71" s="15">
        <v>69</v>
      </c>
      <c r="B71" s="31" t="s">
        <v>114</v>
      </c>
      <c r="C71" s="32" t="s">
        <v>56</v>
      </c>
      <c r="D71" s="51"/>
      <c r="E71" s="52"/>
      <c r="F71" s="35">
        <f>29+80</f>
        <v>109</v>
      </c>
      <c r="G71" s="20">
        <f t="shared" si="2"/>
        <v>109</v>
      </c>
      <c r="H71" s="36"/>
    </row>
    <row r="72" spans="1:8" ht="12.75" customHeight="1">
      <c r="A72" s="15">
        <v>70</v>
      </c>
      <c r="B72" s="31" t="s">
        <v>115</v>
      </c>
      <c r="C72" s="32" t="s">
        <v>99</v>
      </c>
      <c r="D72" s="51"/>
      <c r="E72" s="52"/>
      <c r="F72" s="35">
        <f>28+80</f>
        <v>108</v>
      </c>
      <c r="G72" s="20">
        <f t="shared" si="2"/>
        <v>108</v>
      </c>
      <c r="H72" s="36"/>
    </row>
    <row r="73" spans="1:8" ht="12.75" customHeight="1">
      <c r="A73" s="15">
        <v>71</v>
      </c>
      <c r="B73" s="31" t="s">
        <v>116</v>
      </c>
      <c r="C73" s="32" t="s">
        <v>99</v>
      </c>
      <c r="D73" s="51"/>
      <c r="E73" s="52"/>
      <c r="F73" s="35">
        <f>25+80</f>
        <v>105</v>
      </c>
      <c r="G73" s="20">
        <f t="shared" si="2"/>
        <v>105</v>
      </c>
      <c r="H73" s="36"/>
    </row>
    <row r="74" spans="1:8" ht="12.75" customHeight="1">
      <c r="A74" s="15">
        <v>72</v>
      </c>
      <c r="B74" s="31" t="s">
        <v>117</v>
      </c>
      <c r="C74" s="32" t="s">
        <v>20</v>
      </c>
      <c r="D74" s="49">
        <f>44+60</f>
        <v>104</v>
      </c>
      <c r="E74" s="53"/>
      <c r="F74" s="35"/>
      <c r="G74" s="20">
        <f t="shared" si="2"/>
        <v>104</v>
      </c>
      <c r="H74" s="36"/>
    </row>
    <row r="75" spans="1:8" ht="12.75" customHeight="1">
      <c r="A75" s="15">
        <v>73</v>
      </c>
      <c r="B75" s="31" t="s">
        <v>118</v>
      </c>
      <c r="C75" s="32" t="s">
        <v>9</v>
      </c>
      <c r="D75" s="51"/>
      <c r="E75" s="52"/>
      <c r="F75" s="35">
        <f>24+80</f>
        <v>104</v>
      </c>
      <c r="G75" s="20">
        <f t="shared" si="2"/>
        <v>104</v>
      </c>
      <c r="H75" s="36"/>
    </row>
    <row r="76" spans="1:8" ht="12.75" customHeight="1">
      <c r="A76" s="15">
        <v>74</v>
      </c>
      <c r="B76" s="31" t="s">
        <v>119</v>
      </c>
      <c r="C76" s="32" t="s">
        <v>99</v>
      </c>
      <c r="D76" s="51"/>
      <c r="E76" s="52"/>
      <c r="F76" s="35">
        <f>22+80</f>
        <v>102</v>
      </c>
      <c r="G76" s="20">
        <f t="shared" si="2"/>
        <v>102</v>
      </c>
      <c r="H76" s="36"/>
    </row>
    <row r="77" spans="1:8" ht="12.75" customHeight="1">
      <c r="A77" s="15">
        <v>75</v>
      </c>
      <c r="B77" s="31" t="s">
        <v>120</v>
      </c>
      <c r="C77" s="32" t="s">
        <v>68</v>
      </c>
      <c r="D77" s="51"/>
      <c r="E77" s="52">
        <f>12+90</f>
        <v>102</v>
      </c>
      <c r="F77" s="35"/>
      <c r="G77" s="20">
        <f t="shared" si="2"/>
        <v>102</v>
      </c>
      <c r="H77" s="36"/>
    </row>
    <row r="78" spans="1:8" ht="12.75" customHeight="1">
      <c r="A78" s="15">
        <v>76</v>
      </c>
      <c r="B78" s="31" t="s">
        <v>121</v>
      </c>
      <c r="C78" s="32" t="s">
        <v>9</v>
      </c>
      <c r="D78" s="51"/>
      <c r="E78" s="52"/>
      <c r="F78" s="35">
        <f>21+80</f>
        <v>101</v>
      </c>
      <c r="G78" s="20">
        <f t="shared" si="2"/>
        <v>101</v>
      </c>
      <c r="H78" s="36"/>
    </row>
    <row r="79" spans="1:8" ht="12.75" customHeight="1">
      <c r="A79" s="15">
        <v>77</v>
      </c>
      <c r="B79" s="31" t="s">
        <v>122</v>
      </c>
      <c r="C79" s="32" t="s">
        <v>99</v>
      </c>
      <c r="D79" s="51"/>
      <c r="E79" s="52"/>
      <c r="F79" s="35">
        <f>20+80</f>
        <v>100</v>
      </c>
      <c r="G79" s="20">
        <f t="shared" si="2"/>
        <v>100</v>
      </c>
      <c r="H79" s="36"/>
    </row>
    <row r="80" spans="1:8" ht="12.75" customHeight="1">
      <c r="A80" s="15">
        <v>78</v>
      </c>
      <c r="B80" s="31" t="s">
        <v>123</v>
      </c>
      <c r="C80" s="32" t="s">
        <v>12</v>
      </c>
      <c r="D80" s="51"/>
      <c r="E80" s="52"/>
      <c r="F80" s="35">
        <f>19+80</f>
        <v>99</v>
      </c>
      <c r="G80" s="20">
        <f t="shared" si="2"/>
        <v>99</v>
      </c>
      <c r="H80" s="36"/>
    </row>
    <row r="81" spans="1:8" ht="12.75" customHeight="1">
      <c r="A81" s="15">
        <v>79</v>
      </c>
      <c r="B81" s="31" t="s">
        <v>124</v>
      </c>
      <c r="C81" s="32" t="s">
        <v>93</v>
      </c>
      <c r="D81" s="51">
        <f>38+60</f>
        <v>98</v>
      </c>
      <c r="E81" s="52"/>
      <c r="F81" s="35"/>
      <c r="G81" s="20">
        <f t="shared" si="2"/>
        <v>98</v>
      </c>
      <c r="H81" s="36"/>
    </row>
    <row r="82" spans="1:8" ht="12.75" customHeight="1">
      <c r="A82" s="15">
        <v>80</v>
      </c>
      <c r="B82" s="31" t="s">
        <v>125</v>
      </c>
      <c r="C82" s="32" t="s">
        <v>12</v>
      </c>
      <c r="D82" s="51"/>
      <c r="E82" s="52">
        <f>6+90</f>
        <v>96</v>
      </c>
      <c r="F82" s="35"/>
      <c r="G82" s="20">
        <f t="shared" si="2"/>
        <v>96</v>
      </c>
      <c r="H82" s="36"/>
    </row>
    <row r="83" spans="1:8" ht="12.75" customHeight="1">
      <c r="A83" s="15">
        <v>81</v>
      </c>
      <c r="B83" s="31" t="s">
        <v>126</v>
      </c>
      <c r="C83" s="32" t="s">
        <v>99</v>
      </c>
      <c r="D83" s="51"/>
      <c r="E83" s="52"/>
      <c r="F83" s="35">
        <f>16+80</f>
        <v>96</v>
      </c>
      <c r="G83" s="20">
        <f t="shared" si="2"/>
        <v>96</v>
      </c>
      <c r="H83" s="36"/>
    </row>
    <row r="84" spans="1:8" ht="12.75" customHeight="1">
      <c r="A84" s="15">
        <v>82</v>
      </c>
      <c r="B84" s="31" t="s">
        <v>127</v>
      </c>
      <c r="C84" s="32" t="s">
        <v>31</v>
      </c>
      <c r="D84" s="51"/>
      <c r="E84" s="52"/>
      <c r="F84" s="35">
        <f>15+80</f>
        <v>95</v>
      </c>
      <c r="G84" s="20">
        <f t="shared" si="2"/>
        <v>95</v>
      </c>
      <c r="H84" s="36"/>
    </row>
    <row r="85" spans="1:8" ht="12.75" customHeight="1">
      <c r="A85" s="15">
        <v>83</v>
      </c>
      <c r="B85" s="31" t="s">
        <v>128</v>
      </c>
      <c r="C85" s="32" t="s">
        <v>17</v>
      </c>
      <c r="D85" s="51"/>
      <c r="E85" s="52">
        <f>5+90</f>
        <v>95</v>
      </c>
      <c r="F85" s="35"/>
      <c r="G85" s="20">
        <f t="shared" si="2"/>
        <v>95</v>
      </c>
      <c r="H85" s="36"/>
    </row>
    <row r="86" spans="1:8" ht="12.75" customHeight="1">
      <c r="A86" s="15">
        <v>84</v>
      </c>
      <c r="B86" s="31" t="s">
        <v>129</v>
      </c>
      <c r="C86" s="32" t="s">
        <v>48</v>
      </c>
      <c r="D86" s="51">
        <f>35+60</f>
        <v>95</v>
      </c>
      <c r="E86" s="52"/>
      <c r="F86" s="35"/>
      <c r="G86" s="20">
        <f t="shared" si="2"/>
        <v>95</v>
      </c>
      <c r="H86" s="36"/>
    </row>
    <row r="87" spans="1:8" ht="12.75" customHeight="1">
      <c r="A87" s="15">
        <v>85</v>
      </c>
      <c r="B87" s="31" t="s">
        <v>130</v>
      </c>
      <c r="C87" s="32" t="s">
        <v>43</v>
      </c>
      <c r="D87" s="51">
        <f>32+60</f>
        <v>92</v>
      </c>
      <c r="E87" s="52"/>
      <c r="F87" s="35"/>
      <c r="G87" s="20">
        <f t="shared" si="2"/>
        <v>92</v>
      </c>
      <c r="H87" s="36"/>
    </row>
    <row r="88" spans="1:8" ht="12.75" customHeight="1">
      <c r="A88" s="15">
        <v>86</v>
      </c>
      <c r="B88" s="31" t="s">
        <v>131</v>
      </c>
      <c r="C88" s="32" t="s">
        <v>36</v>
      </c>
      <c r="D88" s="51"/>
      <c r="E88" s="52">
        <f>2+90</f>
        <v>92</v>
      </c>
      <c r="F88" s="35"/>
      <c r="G88" s="20">
        <f t="shared" si="2"/>
        <v>92</v>
      </c>
      <c r="H88" s="36"/>
    </row>
    <row r="89" spans="1:8" ht="12.75" customHeight="1">
      <c r="A89" s="15">
        <v>87</v>
      </c>
      <c r="B89" s="31" t="s">
        <v>132</v>
      </c>
      <c r="C89" s="32" t="s">
        <v>17</v>
      </c>
      <c r="D89" s="51"/>
      <c r="E89" s="52"/>
      <c r="F89" s="35">
        <f>9+80</f>
        <v>89</v>
      </c>
      <c r="G89" s="20">
        <f t="shared" si="2"/>
        <v>89</v>
      </c>
      <c r="H89" s="36"/>
    </row>
    <row r="90" spans="1:8" ht="12.75" customHeight="1">
      <c r="A90" s="15">
        <v>88</v>
      </c>
      <c r="B90" s="31" t="s">
        <v>133</v>
      </c>
      <c r="C90" s="32" t="s">
        <v>99</v>
      </c>
      <c r="D90" s="51"/>
      <c r="E90" s="52"/>
      <c r="F90" s="35">
        <f>8+80</f>
        <v>88</v>
      </c>
      <c r="G90" s="20">
        <f t="shared" si="2"/>
        <v>88</v>
      </c>
      <c r="H90" s="36"/>
    </row>
    <row r="91" spans="1:8" ht="12.75" customHeight="1">
      <c r="A91" s="15">
        <v>89</v>
      </c>
      <c r="B91" s="31" t="s">
        <v>134</v>
      </c>
      <c r="C91" s="32" t="s">
        <v>43</v>
      </c>
      <c r="D91" s="51">
        <f>27+60</f>
        <v>87</v>
      </c>
      <c r="E91" s="52"/>
      <c r="F91" s="35"/>
      <c r="G91" s="20">
        <f t="shared" si="2"/>
        <v>87</v>
      </c>
      <c r="H91" s="36"/>
    </row>
    <row r="92" spans="1:8" ht="12.75" customHeight="1">
      <c r="A92" s="15">
        <v>90</v>
      </c>
      <c r="B92" s="31" t="s">
        <v>135</v>
      </c>
      <c r="C92" s="32" t="s">
        <v>99</v>
      </c>
      <c r="D92" s="51"/>
      <c r="E92" s="52"/>
      <c r="F92" s="35">
        <f>6+80</f>
        <v>86</v>
      </c>
      <c r="G92" s="20">
        <f t="shared" si="2"/>
        <v>86</v>
      </c>
      <c r="H92" s="36"/>
    </row>
    <row r="93" spans="1:8" ht="12.75" customHeight="1">
      <c r="A93" s="15">
        <v>91</v>
      </c>
      <c r="B93" s="31" t="s">
        <v>136</v>
      </c>
      <c r="C93" s="32" t="s">
        <v>12</v>
      </c>
      <c r="D93" s="49"/>
      <c r="E93" s="50"/>
      <c r="F93" s="35">
        <f>1+80</f>
        <v>81</v>
      </c>
      <c r="G93" s="20">
        <f t="shared" si="2"/>
        <v>81</v>
      </c>
      <c r="H93" s="36"/>
    </row>
    <row r="94" spans="1:8" ht="12.75" customHeight="1">
      <c r="A94" s="15">
        <v>92</v>
      </c>
      <c r="B94" s="31" t="s">
        <v>137</v>
      </c>
      <c r="C94" s="32" t="s">
        <v>48</v>
      </c>
      <c r="D94" s="51">
        <f>20+60</f>
        <v>80</v>
      </c>
      <c r="E94" s="52"/>
      <c r="F94" s="35"/>
      <c r="G94" s="20">
        <f t="shared" si="2"/>
        <v>80</v>
      </c>
      <c r="H94" s="36"/>
    </row>
    <row r="95" spans="1:8" ht="12.75" customHeight="1">
      <c r="A95" s="15">
        <v>93</v>
      </c>
      <c r="B95" s="31" t="s">
        <v>138</v>
      </c>
      <c r="C95" s="32" t="s">
        <v>43</v>
      </c>
      <c r="D95" s="51">
        <f>19+60</f>
        <v>79</v>
      </c>
      <c r="E95" s="52"/>
      <c r="F95" s="35"/>
      <c r="G95" s="20">
        <f t="shared" si="2"/>
        <v>79</v>
      </c>
      <c r="H95" s="36"/>
    </row>
    <row r="96" spans="1:8" ht="12.75" customHeight="1">
      <c r="A96" s="15">
        <v>94</v>
      </c>
      <c r="B96" s="31" t="s">
        <v>139</v>
      </c>
      <c r="C96" s="32" t="s">
        <v>43</v>
      </c>
      <c r="D96" s="51">
        <f>16+60</f>
        <v>76</v>
      </c>
      <c r="E96" s="52"/>
      <c r="F96" s="35"/>
      <c r="G96" s="20">
        <f t="shared" si="2"/>
        <v>76</v>
      </c>
      <c r="H96" s="36"/>
    </row>
    <row r="97" spans="1:8" ht="12.75" customHeight="1">
      <c r="A97" s="15">
        <v>95</v>
      </c>
      <c r="B97" s="31" t="s">
        <v>140</v>
      </c>
      <c r="C97" s="32" t="s">
        <v>31</v>
      </c>
      <c r="D97" s="49">
        <f>15+60</f>
        <v>75</v>
      </c>
      <c r="E97" s="53"/>
      <c r="F97" s="35"/>
      <c r="G97" s="20">
        <f t="shared" si="2"/>
        <v>75</v>
      </c>
      <c r="H97" s="36"/>
    </row>
    <row r="98" spans="1:8" ht="12.75" customHeight="1">
      <c r="A98" s="15">
        <v>96</v>
      </c>
      <c r="B98" s="31" t="s">
        <v>141</v>
      </c>
      <c r="C98" s="32" t="s">
        <v>31</v>
      </c>
      <c r="D98" s="51">
        <f>14+60</f>
        <v>74</v>
      </c>
      <c r="E98" s="52"/>
      <c r="F98" s="35"/>
      <c r="G98" s="20">
        <f t="shared" si="2"/>
        <v>74</v>
      </c>
      <c r="H98" s="36"/>
    </row>
    <row r="99" spans="1:8" ht="12.75" customHeight="1">
      <c r="A99" s="15">
        <v>97</v>
      </c>
      <c r="B99" s="31" t="s">
        <v>142</v>
      </c>
      <c r="C99" s="32" t="s">
        <v>43</v>
      </c>
      <c r="D99" s="51">
        <f>13+60</f>
        <v>73</v>
      </c>
      <c r="E99" s="52"/>
      <c r="F99" s="35"/>
      <c r="G99" s="20">
        <f t="shared" si="2"/>
        <v>73</v>
      </c>
      <c r="H99" s="36"/>
    </row>
    <row r="100" spans="1:8" ht="12.75" customHeight="1">
      <c r="A100" s="15">
        <v>98</v>
      </c>
      <c r="B100" s="31" t="s">
        <v>143</v>
      </c>
      <c r="C100" s="32" t="s">
        <v>61</v>
      </c>
      <c r="D100" s="51">
        <f>9+60</f>
        <v>69</v>
      </c>
      <c r="E100" s="52"/>
      <c r="F100" s="38"/>
      <c r="G100" s="20">
        <f>SUM(D100:F100)</f>
        <v>69</v>
      </c>
      <c r="H100" s="36"/>
    </row>
    <row r="101" spans="1:8" ht="12.75" customHeight="1">
      <c r="A101" s="15">
        <v>99</v>
      </c>
      <c r="B101" s="31" t="s">
        <v>144</v>
      </c>
      <c r="C101" s="32" t="s">
        <v>56</v>
      </c>
      <c r="D101" s="51">
        <f>6+60</f>
        <v>66</v>
      </c>
      <c r="E101" s="52"/>
      <c r="F101" s="35"/>
      <c r="G101" s="20">
        <f>SUM(D101:F101)</f>
        <v>66</v>
      </c>
      <c r="H101" s="36"/>
    </row>
    <row r="102" spans="1:8" ht="12.75" customHeight="1">
      <c r="A102" s="15">
        <v>100</v>
      </c>
      <c r="B102" s="42" t="s">
        <v>145</v>
      </c>
      <c r="C102" s="43" t="s">
        <v>43</v>
      </c>
      <c r="D102" s="54">
        <f>5+60</f>
        <v>65</v>
      </c>
      <c r="E102" s="55"/>
      <c r="F102" s="46"/>
      <c r="G102" s="20">
        <f>SUM(D102:F102)</f>
        <v>65</v>
      </c>
      <c r="H102" s="36"/>
    </row>
    <row r="103" spans="1:8" ht="12.75" customHeight="1">
      <c r="A103" s="15">
        <v>101</v>
      </c>
      <c r="B103" s="42" t="s">
        <v>146</v>
      </c>
      <c r="C103" s="43" t="s">
        <v>12</v>
      </c>
      <c r="D103" s="56">
        <f>3+60</f>
        <v>63</v>
      </c>
      <c r="E103" s="56"/>
      <c r="F103" s="46"/>
      <c r="G103" s="20">
        <f>SUM(D103:F103)</f>
        <v>63</v>
      </c>
      <c r="H103" s="36"/>
    </row>
    <row r="104" spans="1:8" ht="12.75" customHeight="1">
      <c r="A104" s="15">
        <v>102</v>
      </c>
      <c r="B104" s="57" t="s">
        <v>147</v>
      </c>
      <c r="C104" s="58" t="s">
        <v>9</v>
      </c>
      <c r="D104" s="59">
        <f>2+60</f>
        <v>62</v>
      </c>
      <c r="E104" s="60"/>
      <c r="F104" s="61"/>
      <c r="G104" s="20">
        <f>SUM(D104:F104)</f>
        <v>62</v>
      </c>
      <c r="H104" s="36"/>
    </row>
  </sheetData>
  <sheetProtection selectLockedCells="1" selectUnlockedCells="1"/>
  <mergeCells count="3">
    <mergeCell ref="A1:H1"/>
    <mergeCell ref="A2:H2"/>
    <mergeCell ref="B3:C3"/>
  </mergeCells>
  <printOptions/>
  <pageMargins left="0.31527777777777777" right="0.31527777777777777" top="0.15763888888888888" bottom="0.1576388888888888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T121"/>
  <sheetViews>
    <sheetView zoomScale="90" zoomScaleNormal="90" workbookViewId="0" topLeftCell="A22">
      <selection activeCell="J46" sqref="J46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28.00390625" style="0" customWidth="1"/>
    <col min="4" max="5" width="11.140625" style="0" customWidth="1"/>
    <col min="6" max="6" width="13.28125" style="0" customWidth="1"/>
    <col min="7" max="7" width="8.421875" style="0" customWidth="1"/>
    <col min="8" max="8" width="8.57421875" style="0" customWidth="1"/>
    <col min="11" max="11" width="17.140625" style="0" customWidth="1"/>
  </cols>
  <sheetData>
    <row r="1" spans="1:8" ht="12.75">
      <c r="A1" s="62" t="s">
        <v>0</v>
      </c>
      <c r="B1" s="62"/>
      <c r="C1" s="62"/>
      <c r="D1" s="62"/>
      <c r="E1" s="62"/>
      <c r="F1" s="62"/>
      <c r="G1" s="62"/>
      <c r="H1" s="62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2:8" ht="12.75">
      <c r="B3" s="63" t="s">
        <v>148</v>
      </c>
      <c r="C3" s="63"/>
      <c r="D3" s="64" t="s">
        <v>149</v>
      </c>
      <c r="E3" s="65" t="s">
        <v>150</v>
      </c>
      <c r="F3" s="65" t="s">
        <v>151</v>
      </c>
      <c r="G3" s="66" t="s">
        <v>6</v>
      </c>
      <c r="H3" s="67" t="s">
        <v>7</v>
      </c>
    </row>
    <row r="4" spans="1:8" ht="12.75" customHeight="1">
      <c r="A4" s="68">
        <v>1</v>
      </c>
      <c r="B4" s="69" t="s">
        <v>152</v>
      </c>
      <c r="C4" s="70" t="s">
        <v>53</v>
      </c>
      <c r="D4" s="71">
        <f>85+50</f>
        <v>135</v>
      </c>
      <c r="E4" s="72">
        <f>68+70</f>
        <v>138</v>
      </c>
      <c r="F4" s="72">
        <f>69+70</f>
        <v>139</v>
      </c>
      <c r="G4" s="73">
        <f aca="true" t="shared" si="0" ref="G4:G35">SUM(D4:F4)</f>
        <v>412</v>
      </c>
      <c r="H4" s="74" t="s">
        <v>153</v>
      </c>
    </row>
    <row r="5" spans="1:16" ht="12.75" customHeight="1">
      <c r="A5" s="75">
        <v>2</v>
      </c>
      <c r="B5" s="76" t="s">
        <v>154</v>
      </c>
      <c r="C5" s="77" t="s">
        <v>36</v>
      </c>
      <c r="D5" s="78">
        <f>84+50</f>
        <v>134</v>
      </c>
      <c r="E5" s="79">
        <f>66+70</f>
        <v>136</v>
      </c>
      <c r="F5" s="79">
        <f>66+70</f>
        <v>136</v>
      </c>
      <c r="G5" s="80">
        <f t="shared" si="0"/>
        <v>406</v>
      </c>
      <c r="H5" s="81" t="s">
        <v>13</v>
      </c>
      <c r="J5" s="82"/>
      <c r="L5" s="83"/>
      <c r="M5" s="83"/>
      <c r="N5" s="25"/>
      <c r="O5" s="83"/>
      <c r="P5" s="25"/>
    </row>
    <row r="6" spans="1:20" ht="12.75" customHeight="1">
      <c r="A6" s="75">
        <v>3</v>
      </c>
      <c r="B6" s="76" t="s">
        <v>155</v>
      </c>
      <c r="C6" s="77" t="s">
        <v>43</v>
      </c>
      <c r="D6" s="84">
        <f>83+50</f>
        <v>133</v>
      </c>
      <c r="E6" s="79">
        <f>65+70</f>
        <v>135</v>
      </c>
      <c r="F6" s="79">
        <f>67+70</f>
        <v>137</v>
      </c>
      <c r="G6" s="80">
        <f t="shared" si="0"/>
        <v>405</v>
      </c>
      <c r="H6" s="81" t="s">
        <v>15</v>
      </c>
      <c r="J6" s="22"/>
      <c r="K6" s="23"/>
      <c r="L6" s="23"/>
      <c r="M6" s="24"/>
      <c r="N6" s="25"/>
      <c r="O6" s="24"/>
      <c r="P6" s="25"/>
      <c r="Q6" s="26"/>
      <c r="R6" s="26"/>
      <c r="S6" s="26"/>
      <c r="T6" s="26"/>
    </row>
    <row r="7" spans="1:20" ht="12.75" customHeight="1">
      <c r="A7" s="75">
        <v>4</v>
      </c>
      <c r="B7" s="76" t="s">
        <v>156</v>
      </c>
      <c r="C7" s="77" t="s">
        <v>9</v>
      </c>
      <c r="D7" s="78">
        <f>81+50</f>
        <v>131</v>
      </c>
      <c r="E7" s="79">
        <f>67+70</f>
        <v>137</v>
      </c>
      <c r="F7" s="79">
        <f>64+70</f>
        <v>134</v>
      </c>
      <c r="G7" s="80">
        <f t="shared" si="0"/>
        <v>402</v>
      </c>
      <c r="H7" s="81" t="s">
        <v>18</v>
      </c>
      <c r="J7" s="22"/>
      <c r="K7" s="23"/>
      <c r="L7" s="23"/>
      <c r="M7" s="24"/>
      <c r="N7" s="25"/>
      <c r="O7" s="24"/>
      <c r="P7" s="25"/>
      <c r="Q7" s="26"/>
      <c r="R7" s="26"/>
      <c r="S7" s="26"/>
      <c r="T7" s="26"/>
    </row>
    <row r="8" spans="1:20" ht="12.75" customHeight="1">
      <c r="A8" s="75">
        <v>5</v>
      </c>
      <c r="B8" s="76" t="s">
        <v>157</v>
      </c>
      <c r="C8" s="77" t="s">
        <v>12</v>
      </c>
      <c r="D8" s="84">
        <f>77+50</f>
        <v>127</v>
      </c>
      <c r="E8" s="79">
        <f>61+70</f>
        <v>131</v>
      </c>
      <c r="F8" s="79">
        <f>68+70</f>
        <v>138</v>
      </c>
      <c r="G8" s="80">
        <f t="shared" si="0"/>
        <v>396</v>
      </c>
      <c r="H8" s="81" t="s">
        <v>21</v>
      </c>
      <c r="J8" s="22"/>
      <c r="K8" s="23"/>
      <c r="L8" s="23"/>
      <c r="M8" s="24"/>
      <c r="N8" s="25"/>
      <c r="O8" s="24"/>
      <c r="P8" s="25"/>
      <c r="Q8" s="26"/>
      <c r="R8" s="26"/>
      <c r="S8" s="26"/>
      <c r="T8" s="26"/>
    </row>
    <row r="9" spans="1:20" ht="12.75" customHeight="1">
      <c r="A9" s="75">
        <v>6</v>
      </c>
      <c r="B9" s="76" t="s">
        <v>158</v>
      </c>
      <c r="C9" s="77" t="s">
        <v>9</v>
      </c>
      <c r="D9" s="78">
        <f>75+50</f>
        <v>125</v>
      </c>
      <c r="E9" s="85">
        <f>64+70</f>
        <v>134</v>
      </c>
      <c r="F9" s="85">
        <f>65+70</f>
        <v>135</v>
      </c>
      <c r="G9" s="80">
        <f t="shared" si="0"/>
        <v>394</v>
      </c>
      <c r="H9" s="81" t="s">
        <v>23</v>
      </c>
      <c r="J9" s="22"/>
      <c r="K9" s="23"/>
      <c r="L9" s="23"/>
      <c r="M9" s="24"/>
      <c r="N9" s="28"/>
      <c r="O9" s="24"/>
      <c r="P9" s="28"/>
      <c r="Q9" s="26"/>
      <c r="R9" s="26"/>
      <c r="S9" s="26"/>
      <c r="T9" s="26"/>
    </row>
    <row r="10" spans="1:20" ht="12.75" customHeight="1">
      <c r="A10" s="75">
        <v>7</v>
      </c>
      <c r="B10" s="76" t="s">
        <v>159</v>
      </c>
      <c r="C10" s="77" t="s">
        <v>12</v>
      </c>
      <c r="D10" s="78">
        <f>79+50</f>
        <v>129</v>
      </c>
      <c r="E10" s="79">
        <f>62+70</f>
        <v>132</v>
      </c>
      <c r="F10" s="79">
        <f>62+70</f>
        <v>132</v>
      </c>
      <c r="G10" s="80">
        <f t="shared" si="0"/>
        <v>393</v>
      </c>
      <c r="H10" s="81" t="s">
        <v>25</v>
      </c>
      <c r="J10" s="22"/>
      <c r="M10" s="24"/>
      <c r="N10" s="25"/>
      <c r="O10" s="24"/>
      <c r="P10" s="25"/>
      <c r="Q10" s="26"/>
      <c r="R10" s="26"/>
      <c r="S10" s="26"/>
      <c r="T10" s="26"/>
    </row>
    <row r="11" spans="1:20" ht="12.75" customHeight="1">
      <c r="A11" s="75">
        <v>8</v>
      </c>
      <c r="B11" s="76" t="s">
        <v>160</v>
      </c>
      <c r="C11" s="77" t="s">
        <v>56</v>
      </c>
      <c r="D11" s="84">
        <f>69+50</f>
        <v>119</v>
      </c>
      <c r="E11" s="79">
        <f>57+70</f>
        <v>127</v>
      </c>
      <c r="F11" s="79">
        <f>55+70</f>
        <v>125</v>
      </c>
      <c r="G11" s="80">
        <f t="shared" si="0"/>
        <v>371</v>
      </c>
      <c r="H11" s="81" t="s">
        <v>27</v>
      </c>
      <c r="J11" s="22"/>
      <c r="K11" s="23"/>
      <c r="L11" s="23"/>
      <c r="M11" s="24"/>
      <c r="N11" s="28"/>
      <c r="O11" s="24"/>
      <c r="P11" s="28"/>
      <c r="Q11" s="26"/>
      <c r="R11" s="26"/>
      <c r="S11" s="26"/>
      <c r="T11" s="26"/>
    </row>
    <row r="12" spans="1:20" ht="12.75" customHeight="1">
      <c r="A12" s="75">
        <v>9</v>
      </c>
      <c r="B12" s="76" t="s">
        <v>161</v>
      </c>
      <c r="C12" s="77" t="s">
        <v>48</v>
      </c>
      <c r="D12" s="84">
        <f>63+50</f>
        <v>113</v>
      </c>
      <c r="E12" s="79">
        <f>50+70</f>
        <v>120</v>
      </c>
      <c r="F12" s="79">
        <f>56+70</f>
        <v>126</v>
      </c>
      <c r="G12" s="80">
        <f t="shared" si="0"/>
        <v>359</v>
      </c>
      <c r="H12" s="81" t="s">
        <v>29</v>
      </c>
      <c r="J12" s="22"/>
      <c r="K12" s="23"/>
      <c r="L12" s="23"/>
      <c r="M12" s="24"/>
      <c r="N12" s="25"/>
      <c r="O12" s="24"/>
      <c r="P12" s="25"/>
      <c r="Q12" s="26"/>
      <c r="R12" s="26"/>
      <c r="S12" s="26"/>
      <c r="T12" s="26"/>
    </row>
    <row r="13" spans="1:20" ht="12.75" customHeight="1">
      <c r="A13" s="75">
        <v>10</v>
      </c>
      <c r="B13" s="76" t="s">
        <v>162</v>
      </c>
      <c r="C13" s="77" t="s">
        <v>31</v>
      </c>
      <c r="D13" s="78">
        <f>73+50</f>
        <v>123</v>
      </c>
      <c r="E13" s="79">
        <f>47+70</f>
        <v>117</v>
      </c>
      <c r="F13" s="79">
        <f>46+70</f>
        <v>116</v>
      </c>
      <c r="G13" s="80">
        <f t="shared" si="0"/>
        <v>356</v>
      </c>
      <c r="H13" s="81" t="s">
        <v>32</v>
      </c>
      <c r="J13" s="22"/>
      <c r="K13" s="23"/>
      <c r="L13" s="23"/>
      <c r="M13" s="24"/>
      <c r="N13" s="25"/>
      <c r="O13" s="24"/>
      <c r="P13" s="25"/>
      <c r="Q13" s="26"/>
      <c r="R13" s="26"/>
      <c r="S13" s="26"/>
      <c r="T13" s="26"/>
    </row>
    <row r="14" spans="1:20" ht="12.75" customHeight="1">
      <c r="A14" s="75">
        <v>11</v>
      </c>
      <c r="B14" s="76" t="s">
        <v>163</v>
      </c>
      <c r="C14" s="77" t="s">
        <v>9</v>
      </c>
      <c r="D14" s="78">
        <f>62+50</f>
        <v>112</v>
      </c>
      <c r="E14" s="85">
        <f>48+70</f>
        <v>118</v>
      </c>
      <c r="F14" s="85">
        <f>51+70</f>
        <v>121</v>
      </c>
      <c r="G14" s="80">
        <f t="shared" si="0"/>
        <v>351</v>
      </c>
      <c r="H14" s="81" t="s">
        <v>34</v>
      </c>
      <c r="J14" s="22"/>
      <c r="K14" s="23"/>
      <c r="L14" s="23"/>
      <c r="M14" s="24"/>
      <c r="N14" s="28"/>
      <c r="O14" s="24"/>
      <c r="P14" s="28"/>
      <c r="Q14" s="26"/>
      <c r="R14" s="26"/>
      <c r="S14" s="26"/>
      <c r="T14" s="26"/>
    </row>
    <row r="15" spans="1:20" ht="12.75" customHeight="1">
      <c r="A15" s="75">
        <v>12</v>
      </c>
      <c r="B15" s="76" t="s">
        <v>164</v>
      </c>
      <c r="C15" s="77" t="s">
        <v>12</v>
      </c>
      <c r="D15" s="78">
        <f>67+50</f>
        <v>117</v>
      </c>
      <c r="E15" s="79">
        <f>40+70</f>
        <v>110</v>
      </c>
      <c r="F15" s="79">
        <f>52+70</f>
        <v>122</v>
      </c>
      <c r="G15" s="80">
        <f t="shared" si="0"/>
        <v>349</v>
      </c>
      <c r="H15" s="81" t="s">
        <v>37</v>
      </c>
      <c r="J15" s="22"/>
      <c r="K15" s="23"/>
      <c r="L15" s="23"/>
      <c r="M15" s="24"/>
      <c r="N15" s="28"/>
      <c r="O15" s="24"/>
      <c r="P15" s="28"/>
      <c r="Q15" s="26"/>
      <c r="R15" s="26"/>
      <c r="S15" s="26"/>
      <c r="T15" s="26"/>
    </row>
    <row r="16" spans="1:20" ht="12.75" customHeight="1">
      <c r="A16" s="75">
        <v>13</v>
      </c>
      <c r="B16" s="76" t="s">
        <v>165</v>
      </c>
      <c r="C16" s="77" t="s">
        <v>12</v>
      </c>
      <c r="D16" s="78">
        <f>53+50</f>
        <v>103</v>
      </c>
      <c r="E16" s="79">
        <f>42+70</f>
        <v>112</v>
      </c>
      <c r="F16" s="79">
        <f>53+70</f>
        <v>123</v>
      </c>
      <c r="G16" s="80">
        <f t="shared" si="0"/>
        <v>338</v>
      </c>
      <c r="H16" s="81" t="s">
        <v>39</v>
      </c>
      <c r="J16" s="22"/>
      <c r="K16" s="23"/>
      <c r="L16" s="23"/>
      <c r="M16" s="29"/>
      <c r="N16" s="29"/>
      <c r="O16" s="29"/>
      <c r="P16" s="29"/>
      <c r="Q16" s="29"/>
      <c r="R16" s="26"/>
      <c r="S16" s="26"/>
      <c r="T16" s="26"/>
    </row>
    <row r="17" spans="1:20" ht="12.75" customHeight="1">
      <c r="A17" s="75">
        <v>14</v>
      </c>
      <c r="B17" s="76" t="s">
        <v>166</v>
      </c>
      <c r="C17" s="77" t="s">
        <v>48</v>
      </c>
      <c r="D17" s="78">
        <f>56+50</f>
        <v>106</v>
      </c>
      <c r="E17" s="79">
        <f>51+70</f>
        <v>121</v>
      </c>
      <c r="F17" s="79">
        <f>36+70</f>
        <v>106</v>
      </c>
      <c r="G17" s="80">
        <f t="shared" si="0"/>
        <v>333</v>
      </c>
      <c r="H17" s="81" t="s">
        <v>41</v>
      </c>
      <c r="J17" s="22"/>
      <c r="M17" s="29"/>
      <c r="N17" s="29"/>
      <c r="O17" s="29"/>
      <c r="P17" s="29"/>
      <c r="Q17" s="29"/>
      <c r="R17" s="26"/>
      <c r="S17" s="26"/>
      <c r="T17" s="26"/>
    </row>
    <row r="18" spans="1:20" ht="12.75" customHeight="1">
      <c r="A18" s="75">
        <v>15</v>
      </c>
      <c r="B18" s="76" t="s">
        <v>167</v>
      </c>
      <c r="C18" s="77" t="s">
        <v>36</v>
      </c>
      <c r="D18" s="78">
        <f>49+50</f>
        <v>99</v>
      </c>
      <c r="E18" s="79">
        <f>34+70</f>
        <v>104</v>
      </c>
      <c r="F18" s="79">
        <f>57+70</f>
        <v>127</v>
      </c>
      <c r="G18" s="80">
        <f t="shared" si="0"/>
        <v>330</v>
      </c>
      <c r="H18" s="81" t="s">
        <v>44</v>
      </c>
      <c r="J18" s="22"/>
      <c r="K18" s="23"/>
      <c r="L18" s="23"/>
      <c r="M18" s="29"/>
      <c r="N18" s="29"/>
      <c r="O18" s="29"/>
      <c r="P18" s="29"/>
      <c r="Q18" s="29"/>
      <c r="R18" s="26"/>
      <c r="S18" s="26"/>
      <c r="T18" s="26"/>
    </row>
    <row r="19" spans="1:20" ht="12.75" customHeight="1">
      <c r="A19" s="75">
        <v>16</v>
      </c>
      <c r="B19" s="76" t="s">
        <v>168</v>
      </c>
      <c r="C19" s="77" t="s">
        <v>9</v>
      </c>
      <c r="D19" s="84">
        <f>55+50</f>
        <v>105</v>
      </c>
      <c r="E19" s="79">
        <f>46+70</f>
        <v>116</v>
      </c>
      <c r="F19" s="79">
        <f>39+70</f>
        <v>109</v>
      </c>
      <c r="G19" s="80">
        <f t="shared" si="0"/>
        <v>330</v>
      </c>
      <c r="H19" s="81" t="s">
        <v>44</v>
      </c>
      <c r="J19" s="22"/>
      <c r="K19" s="23"/>
      <c r="L19" s="23"/>
      <c r="M19" s="29"/>
      <c r="N19" s="29"/>
      <c r="O19" s="29"/>
      <c r="P19" s="29"/>
      <c r="Q19" s="29"/>
      <c r="R19" s="26"/>
      <c r="S19" s="26"/>
      <c r="T19" s="26"/>
    </row>
    <row r="20" spans="1:20" ht="12.75" customHeight="1">
      <c r="A20" s="75">
        <v>17</v>
      </c>
      <c r="B20" s="76" t="s">
        <v>169</v>
      </c>
      <c r="C20" s="77" t="s">
        <v>31</v>
      </c>
      <c r="D20" s="84">
        <f>58+50</f>
        <v>108</v>
      </c>
      <c r="E20" s="79">
        <f>49+70</f>
        <v>119</v>
      </c>
      <c r="F20" s="79">
        <f>27+70</f>
        <v>97</v>
      </c>
      <c r="G20" s="80">
        <f t="shared" si="0"/>
        <v>324</v>
      </c>
      <c r="H20" s="81" t="s">
        <v>49</v>
      </c>
      <c r="J20" s="22"/>
      <c r="K20" s="23"/>
      <c r="L20" s="23"/>
      <c r="M20" s="29"/>
      <c r="N20" s="29"/>
      <c r="O20" s="29"/>
      <c r="P20" s="29"/>
      <c r="Q20" s="29"/>
      <c r="R20" s="26"/>
      <c r="S20" s="26"/>
      <c r="T20" s="26"/>
    </row>
    <row r="21" spans="1:20" ht="12.75" customHeight="1">
      <c r="A21" s="75">
        <v>18</v>
      </c>
      <c r="B21" s="76" t="s">
        <v>170</v>
      </c>
      <c r="C21" s="77" t="s">
        <v>9</v>
      </c>
      <c r="D21" s="78">
        <f>65+50</f>
        <v>115</v>
      </c>
      <c r="E21" s="79">
        <f>35+70</f>
        <v>105</v>
      </c>
      <c r="F21" s="79">
        <f>31+70</f>
        <v>101</v>
      </c>
      <c r="G21" s="80">
        <f t="shared" si="0"/>
        <v>321</v>
      </c>
      <c r="H21" s="81" t="s">
        <v>51</v>
      </c>
      <c r="J21" s="22"/>
      <c r="K21" s="23"/>
      <c r="L21" s="23"/>
      <c r="M21" s="29"/>
      <c r="N21" s="29"/>
      <c r="O21" s="29"/>
      <c r="P21" s="29"/>
      <c r="Q21" s="29"/>
      <c r="R21" s="26"/>
      <c r="S21" s="26"/>
      <c r="T21" s="26"/>
    </row>
    <row r="22" spans="1:20" ht="12.75" customHeight="1">
      <c r="A22" s="75">
        <v>19</v>
      </c>
      <c r="B22" s="76" t="s">
        <v>171</v>
      </c>
      <c r="C22" s="77" t="s">
        <v>12</v>
      </c>
      <c r="D22" s="78">
        <f>45+50</f>
        <v>95</v>
      </c>
      <c r="E22" s="79">
        <f>43+70</f>
        <v>113</v>
      </c>
      <c r="F22" s="79">
        <f>37+70</f>
        <v>107</v>
      </c>
      <c r="G22" s="80">
        <f t="shared" si="0"/>
        <v>315</v>
      </c>
      <c r="H22" s="81" t="s">
        <v>54</v>
      </c>
      <c r="J22" s="22"/>
      <c r="K22" s="23"/>
      <c r="L22" s="23"/>
      <c r="M22" s="29"/>
      <c r="N22" s="29"/>
      <c r="O22" s="29"/>
      <c r="P22" s="29"/>
      <c r="Q22" s="29"/>
      <c r="R22" s="26"/>
      <c r="S22" s="26"/>
      <c r="T22" s="26"/>
    </row>
    <row r="23" spans="1:20" ht="12.75" customHeight="1">
      <c r="A23" s="75">
        <v>20</v>
      </c>
      <c r="B23" s="76" t="s">
        <v>172</v>
      </c>
      <c r="C23" s="77" t="s">
        <v>9</v>
      </c>
      <c r="D23" s="78">
        <f>50+50</f>
        <v>100</v>
      </c>
      <c r="E23" s="79">
        <f>39+70</f>
        <v>109</v>
      </c>
      <c r="F23" s="79">
        <f>34+70</f>
        <v>104</v>
      </c>
      <c r="G23" s="80">
        <f t="shared" si="0"/>
        <v>313</v>
      </c>
      <c r="H23" s="81" t="s">
        <v>57</v>
      </c>
      <c r="J23" s="22"/>
      <c r="K23" s="23"/>
      <c r="L23" s="23"/>
      <c r="M23" s="29"/>
      <c r="N23" s="29"/>
      <c r="O23" s="29"/>
      <c r="P23" s="29"/>
      <c r="Q23" s="29"/>
      <c r="R23" s="26"/>
      <c r="S23" s="26"/>
      <c r="T23" s="26"/>
    </row>
    <row r="24" spans="1:20" ht="12.75" customHeight="1">
      <c r="A24" s="75">
        <v>21</v>
      </c>
      <c r="B24" s="76" t="s">
        <v>173</v>
      </c>
      <c r="C24" s="77" t="s">
        <v>36</v>
      </c>
      <c r="D24" s="78">
        <f>36+50</f>
        <v>86</v>
      </c>
      <c r="E24" s="79">
        <f>41+70</f>
        <v>111</v>
      </c>
      <c r="F24" s="79">
        <f>45+70</f>
        <v>115</v>
      </c>
      <c r="G24" s="80">
        <f t="shared" si="0"/>
        <v>312</v>
      </c>
      <c r="H24" s="81" t="s">
        <v>59</v>
      </c>
      <c r="J24" s="22"/>
      <c r="K24" s="23"/>
      <c r="L24" s="23"/>
      <c r="M24" s="29"/>
      <c r="N24" s="29"/>
      <c r="O24" s="29"/>
      <c r="P24" s="29"/>
      <c r="Q24" s="29"/>
      <c r="R24" s="26"/>
      <c r="S24" s="26"/>
      <c r="T24" s="26"/>
    </row>
    <row r="25" spans="1:20" ht="12.75" customHeight="1">
      <c r="A25" s="75">
        <v>22</v>
      </c>
      <c r="B25" s="76" t="s">
        <v>174</v>
      </c>
      <c r="C25" s="77" t="s">
        <v>48</v>
      </c>
      <c r="D25" s="78">
        <f>37+50</f>
        <v>87</v>
      </c>
      <c r="E25" s="79">
        <f>44+70</f>
        <v>114</v>
      </c>
      <c r="F25" s="79">
        <f>40+70</f>
        <v>110</v>
      </c>
      <c r="G25" s="80">
        <f t="shared" si="0"/>
        <v>311</v>
      </c>
      <c r="H25" s="81" t="s">
        <v>62</v>
      </c>
      <c r="J25" s="22"/>
      <c r="K25" s="23"/>
      <c r="L25" s="23"/>
      <c r="M25" s="29"/>
      <c r="N25" s="29"/>
      <c r="O25" s="29"/>
      <c r="P25" s="29"/>
      <c r="Q25" s="29"/>
      <c r="R25" s="26"/>
      <c r="S25" s="26"/>
      <c r="T25" s="26"/>
    </row>
    <row r="26" spans="1:20" ht="12.75" customHeight="1">
      <c r="A26" s="75">
        <v>23</v>
      </c>
      <c r="B26" s="76" t="s">
        <v>175</v>
      </c>
      <c r="C26" s="77" t="s">
        <v>68</v>
      </c>
      <c r="D26" s="78">
        <f>40+50</f>
        <v>90</v>
      </c>
      <c r="E26" s="79">
        <f>33+70</f>
        <v>103</v>
      </c>
      <c r="F26" s="79">
        <f>48+70</f>
        <v>118</v>
      </c>
      <c r="G26" s="80">
        <f t="shared" si="0"/>
        <v>311</v>
      </c>
      <c r="H26" s="81" t="s">
        <v>62</v>
      </c>
      <c r="M26" s="29"/>
      <c r="N26" s="29"/>
      <c r="O26" s="29"/>
      <c r="P26" s="29"/>
      <c r="Q26" s="29"/>
      <c r="R26" s="26"/>
      <c r="S26" s="26"/>
      <c r="T26" s="26"/>
    </row>
    <row r="27" spans="1:20" ht="12.75" customHeight="1">
      <c r="A27" s="75">
        <v>24</v>
      </c>
      <c r="B27" s="76" t="s">
        <v>176</v>
      </c>
      <c r="C27" s="77" t="s">
        <v>48</v>
      </c>
      <c r="D27" s="78">
        <f>30+50</f>
        <v>80</v>
      </c>
      <c r="E27" s="79">
        <f>53+70</f>
        <v>123</v>
      </c>
      <c r="F27" s="79">
        <f>29+70</f>
        <v>99</v>
      </c>
      <c r="G27" s="80">
        <f t="shared" si="0"/>
        <v>302</v>
      </c>
      <c r="H27" s="81" t="s">
        <v>177</v>
      </c>
      <c r="M27" s="29"/>
      <c r="N27" s="29"/>
      <c r="O27" s="29"/>
      <c r="P27" s="29"/>
      <c r="Q27" s="29"/>
      <c r="R27" s="26"/>
      <c r="S27" s="26"/>
      <c r="T27" s="26"/>
    </row>
    <row r="28" spans="1:20" ht="12.75" customHeight="1">
      <c r="A28" s="75">
        <v>25</v>
      </c>
      <c r="B28" s="76" t="s">
        <v>178</v>
      </c>
      <c r="C28" s="77" t="s">
        <v>68</v>
      </c>
      <c r="D28" s="78">
        <f>38+50</f>
        <v>88</v>
      </c>
      <c r="E28" s="79">
        <f>36+70</f>
        <v>106</v>
      </c>
      <c r="F28" s="79">
        <f>35+70</f>
        <v>105</v>
      </c>
      <c r="G28" s="80">
        <f t="shared" si="0"/>
        <v>299</v>
      </c>
      <c r="H28" s="81" t="s">
        <v>179</v>
      </c>
      <c r="M28" s="29"/>
      <c r="N28" s="29"/>
      <c r="O28" s="29"/>
      <c r="P28" s="29"/>
      <c r="Q28" s="29"/>
      <c r="R28" s="26"/>
      <c r="S28" s="26"/>
      <c r="T28" s="26"/>
    </row>
    <row r="29" spans="1:20" ht="12.75" customHeight="1">
      <c r="A29" s="75">
        <v>26</v>
      </c>
      <c r="B29" s="76" t="s">
        <v>180</v>
      </c>
      <c r="C29" s="77" t="s">
        <v>12</v>
      </c>
      <c r="D29" s="78">
        <f>43+50</f>
        <v>93</v>
      </c>
      <c r="E29" s="79">
        <f>18+70</f>
        <v>88</v>
      </c>
      <c r="F29" s="79">
        <f>38+70</f>
        <v>108</v>
      </c>
      <c r="G29" s="80">
        <f t="shared" si="0"/>
        <v>289</v>
      </c>
      <c r="H29" s="81" t="s">
        <v>181</v>
      </c>
      <c r="M29" s="29"/>
      <c r="N29" s="29"/>
      <c r="O29" s="29"/>
      <c r="P29" s="29"/>
      <c r="Q29" s="29"/>
      <c r="R29" s="26"/>
      <c r="S29" s="26"/>
      <c r="T29" s="26"/>
    </row>
    <row r="30" spans="1:20" ht="12.75" customHeight="1">
      <c r="A30" s="75">
        <v>27</v>
      </c>
      <c r="B30" s="76" t="s">
        <v>182</v>
      </c>
      <c r="C30" s="77" t="s">
        <v>12</v>
      </c>
      <c r="D30" s="84">
        <f>51+50</f>
        <v>101</v>
      </c>
      <c r="E30" s="79">
        <f>24+70</f>
        <v>94</v>
      </c>
      <c r="F30" s="79">
        <f>23+70</f>
        <v>93</v>
      </c>
      <c r="G30" s="80">
        <f t="shared" si="0"/>
        <v>288</v>
      </c>
      <c r="H30" s="81" t="s">
        <v>183</v>
      </c>
      <c r="M30" s="29"/>
      <c r="N30" s="29"/>
      <c r="O30" s="29"/>
      <c r="P30" s="29"/>
      <c r="Q30" s="29"/>
      <c r="R30" s="26"/>
      <c r="S30" s="26"/>
      <c r="T30" s="26"/>
    </row>
    <row r="31" spans="1:20" ht="12.75" customHeight="1">
      <c r="A31" s="75">
        <v>28</v>
      </c>
      <c r="B31" s="76" t="s">
        <v>184</v>
      </c>
      <c r="C31" s="77" t="s">
        <v>53</v>
      </c>
      <c r="D31" s="84">
        <f>35+50</f>
        <v>85</v>
      </c>
      <c r="E31" s="79">
        <f>37+70</f>
        <v>107</v>
      </c>
      <c r="F31" s="79">
        <f>24+70</f>
        <v>94</v>
      </c>
      <c r="G31" s="80">
        <f t="shared" si="0"/>
        <v>286</v>
      </c>
      <c r="H31" s="81" t="s">
        <v>185</v>
      </c>
      <c r="M31" s="29"/>
      <c r="N31" s="29"/>
      <c r="O31" s="29"/>
      <c r="P31" s="29"/>
      <c r="Q31" s="29"/>
      <c r="R31" s="26"/>
      <c r="S31" s="26"/>
      <c r="T31" s="26"/>
    </row>
    <row r="32" spans="1:20" ht="12.75" customHeight="1">
      <c r="A32" s="75">
        <v>29</v>
      </c>
      <c r="B32" s="76" t="s">
        <v>186</v>
      </c>
      <c r="C32" s="77" t="s">
        <v>9</v>
      </c>
      <c r="D32" s="84">
        <f>24+50</f>
        <v>74</v>
      </c>
      <c r="E32" s="79">
        <f>30+70</f>
        <v>100</v>
      </c>
      <c r="F32" s="79">
        <f>41+70</f>
        <v>111</v>
      </c>
      <c r="G32" s="80">
        <f t="shared" si="0"/>
        <v>285</v>
      </c>
      <c r="H32" s="81" t="s">
        <v>187</v>
      </c>
      <c r="M32" s="29"/>
      <c r="N32" s="29"/>
      <c r="O32" s="29"/>
      <c r="P32" s="29"/>
      <c r="Q32" s="29"/>
      <c r="R32" s="26"/>
      <c r="S32" s="26"/>
      <c r="T32" s="26"/>
    </row>
    <row r="33" spans="1:20" ht="12.75" customHeight="1">
      <c r="A33" s="75">
        <v>30</v>
      </c>
      <c r="B33" s="76" t="s">
        <v>188</v>
      </c>
      <c r="C33" s="77" t="s">
        <v>56</v>
      </c>
      <c r="D33" s="84">
        <f>39+50</f>
        <v>89</v>
      </c>
      <c r="E33" s="79">
        <f>32+70</f>
        <v>102</v>
      </c>
      <c r="F33" s="79">
        <f>20+70</f>
        <v>90</v>
      </c>
      <c r="G33" s="80">
        <f t="shared" si="0"/>
        <v>281</v>
      </c>
      <c r="H33" s="81" t="s">
        <v>189</v>
      </c>
      <c r="M33" s="29"/>
      <c r="N33" s="29"/>
      <c r="O33" s="29"/>
      <c r="P33" s="29"/>
      <c r="Q33" s="29"/>
      <c r="R33" s="26"/>
      <c r="S33" s="26"/>
      <c r="T33" s="26"/>
    </row>
    <row r="34" spans="1:20" ht="12.75" customHeight="1">
      <c r="A34" s="75">
        <v>31</v>
      </c>
      <c r="B34" s="76" t="s">
        <v>190</v>
      </c>
      <c r="C34" s="77" t="s">
        <v>48</v>
      </c>
      <c r="D34" s="78">
        <f>23+50</f>
        <v>73</v>
      </c>
      <c r="E34" s="79">
        <f>27+70</f>
        <v>97</v>
      </c>
      <c r="F34" s="79">
        <f>26+70</f>
        <v>96</v>
      </c>
      <c r="G34" s="80">
        <f t="shared" si="0"/>
        <v>266</v>
      </c>
      <c r="H34" s="81" t="s">
        <v>191</v>
      </c>
      <c r="M34" s="29"/>
      <c r="N34" s="29"/>
      <c r="O34" s="29"/>
      <c r="P34" s="29"/>
      <c r="Q34" s="29"/>
      <c r="R34" s="26"/>
      <c r="S34" s="26"/>
      <c r="T34" s="26"/>
    </row>
    <row r="35" spans="1:20" ht="12.75" customHeight="1">
      <c r="A35" s="75">
        <v>32</v>
      </c>
      <c r="B35" s="76" t="s">
        <v>192</v>
      </c>
      <c r="C35" s="77" t="s">
        <v>12</v>
      </c>
      <c r="D35" s="78">
        <f>19+50</f>
        <v>69</v>
      </c>
      <c r="E35" s="79">
        <f>19+70</f>
        <v>89</v>
      </c>
      <c r="F35" s="79">
        <f>30+70</f>
        <v>100</v>
      </c>
      <c r="G35" s="80">
        <f t="shared" si="0"/>
        <v>258</v>
      </c>
      <c r="H35" s="81" t="s">
        <v>193</v>
      </c>
      <c r="M35" s="29"/>
      <c r="N35" s="29"/>
      <c r="O35" s="29"/>
      <c r="P35" s="29"/>
      <c r="Q35" s="29"/>
      <c r="R35" s="26"/>
      <c r="S35" s="26"/>
      <c r="T35" s="26"/>
    </row>
    <row r="36" spans="1:20" ht="12.75" customHeight="1">
      <c r="A36" s="75">
        <v>33</v>
      </c>
      <c r="B36" s="76" t="s">
        <v>194</v>
      </c>
      <c r="C36" s="77" t="s">
        <v>12</v>
      </c>
      <c r="D36" s="78">
        <f>27+50</f>
        <v>77</v>
      </c>
      <c r="E36" s="79">
        <f>13+70</f>
        <v>83</v>
      </c>
      <c r="F36" s="79">
        <f>16+70</f>
        <v>86</v>
      </c>
      <c r="G36" s="80">
        <f aca="true" t="shared" si="1" ref="G36:G67">SUM(D36:F36)</f>
        <v>246</v>
      </c>
      <c r="H36" s="81" t="s">
        <v>195</v>
      </c>
      <c r="M36" s="29"/>
      <c r="N36" s="29"/>
      <c r="O36" s="29"/>
      <c r="P36" s="29"/>
      <c r="Q36" s="29"/>
      <c r="R36" s="26"/>
      <c r="S36" s="26"/>
      <c r="T36" s="26"/>
    </row>
    <row r="37" spans="1:20" ht="12.75" customHeight="1">
      <c r="A37" s="75">
        <v>34</v>
      </c>
      <c r="B37" s="76" t="s">
        <v>196</v>
      </c>
      <c r="C37" s="77" t="s">
        <v>12</v>
      </c>
      <c r="D37" s="78">
        <f>8+50</f>
        <v>58</v>
      </c>
      <c r="E37" s="85">
        <f>17+70</f>
        <v>87</v>
      </c>
      <c r="F37" s="85">
        <f>15+70</f>
        <v>85</v>
      </c>
      <c r="G37" s="80">
        <f t="shared" si="1"/>
        <v>230</v>
      </c>
      <c r="H37" s="81" t="s">
        <v>197</v>
      </c>
      <c r="M37" s="29"/>
      <c r="N37" s="29"/>
      <c r="O37" s="29"/>
      <c r="P37" s="29"/>
      <c r="Q37" s="29"/>
      <c r="R37" s="26"/>
      <c r="S37" s="26"/>
      <c r="T37" s="26"/>
    </row>
    <row r="38" spans="1:20" ht="12.75" customHeight="1">
      <c r="A38" s="75">
        <v>35</v>
      </c>
      <c r="B38" s="76" t="s">
        <v>198</v>
      </c>
      <c r="C38" s="77" t="s">
        <v>61</v>
      </c>
      <c r="D38" s="78">
        <f>17+50</f>
        <v>67</v>
      </c>
      <c r="E38" s="79">
        <f>11+70</f>
        <v>81</v>
      </c>
      <c r="F38" s="79">
        <f>10+70</f>
        <v>80</v>
      </c>
      <c r="G38" s="80">
        <f t="shared" si="1"/>
        <v>228</v>
      </c>
      <c r="H38" s="81" t="s">
        <v>199</v>
      </c>
      <c r="M38" s="29"/>
      <c r="N38" s="29"/>
      <c r="O38" s="29"/>
      <c r="P38" s="29"/>
      <c r="Q38" s="29"/>
      <c r="R38" s="26"/>
      <c r="S38" s="26"/>
      <c r="T38" s="26"/>
    </row>
    <row r="39" spans="1:20" ht="12.75" customHeight="1">
      <c r="A39" s="75">
        <v>36</v>
      </c>
      <c r="B39" s="76" t="s">
        <v>200</v>
      </c>
      <c r="C39" s="77" t="s">
        <v>12</v>
      </c>
      <c r="D39" s="78">
        <f>6+50</f>
        <v>56</v>
      </c>
      <c r="E39" s="85">
        <f>7+70</f>
        <v>77</v>
      </c>
      <c r="F39" s="85">
        <f>12+70</f>
        <v>82</v>
      </c>
      <c r="G39" s="80">
        <f t="shared" si="1"/>
        <v>215</v>
      </c>
      <c r="H39" s="81" t="s">
        <v>201</v>
      </c>
      <c r="M39" s="29"/>
      <c r="N39" s="29"/>
      <c r="O39" s="29"/>
      <c r="P39" s="29"/>
      <c r="Q39" s="29"/>
      <c r="R39" s="26"/>
      <c r="S39" s="26"/>
      <c r="T39" s="26"/>
    </row>
    <row r="40" spans="1:20" ht="12.75" customHeight="1">
      <c r="A40" s="75">
        <v>37</v>
      </c>
      <c r="B40" s="76" t="s">
        <v>202</v>
      </c>
      <c r="C40" s="77" t="s">
        <v>12</v>
      </c>
      <c r="D40" s="78">
        <f>12+50</f>
        <v>62</v>
      </c>
      <c r="E40" s="79">
        <f>6+70</f>
        <v>76</v>
      </c>
      <c r="F40" s="79">
        <f>6+70</f>
        <v>76</v>
      </c>
      <c r="G40" s="80">
        <f t="shared" si="1"/>
        <v>214</v>
      </c>
      <c r="H40" s="81" t="s">
        <v>203</v>
      </c>
      <c r="M40" s="29"/>
      <c r="N40" s="29"/>
      <c r="O40" s="29"/>
      <c r="P40" s="29"/>
      <c r="Q40" s="29"/>
      <c r="R40" s="26"/>
      <c r="S40" s="26"/>
      <c r="T40" s="26"/>
    </row>
    <row r="41" spans="1:20" ht="12.75" customHeight="1">
      <c r="A41" s="75">
        <v>38</v>
      </c>
      <c r="B41" s="76" t="s">
        <v>204</v>
      </c>
      <c r="C41" s="77" t="s">
        <v>48</v>
      </c>
      <c r="D41" s="84">
        <f>2+50</f>
        <v>52</v>
      </c>
      <c r="E41" s="79">
        <f>9+70</f>
        <v>79</v>
      </c>
      <c r="F41" s="79">
        <f>13+70</f>
        <v>83</v>
      </c>
      <c r="G41" s="80">
        <f t="shared" si="1"/>
        <v>214</v>
      </c>
      <c r="H41" s="81" t="s">
        <v>203</v>
      </c>
      <c r="M41" s="29"/>
      <c r="N41" s="29"/>
      <c r="O41" s="29"/>
      <c r="P41" s="29"/>
      <c r="Q41" s="29"/>
      <c r="R41" s="26"/>
      <c r="S41" s="26"/>
      <c r="T41" s="26"/>
    </row>
    <row r="42" spans="1:20" ht="12.75" customHeight="1">
      <c r="A42" s="75">
        <v>39</v>
      </c>
      <c r="B42" s="76" t="s">
        <v>205</v>
      </c>
      <c r="C42" s="77" t="s">
        <v>12</v>
      </c>
      <c r="D42" s="78">
        <f>9+50</f>
        <v>59</v>
      </c>
      <c r="E42" s="79">
        <f>2+70</f>
        <v>72</v>
      </c>
      <c r="F42" s="79">
        <f>4+70</f>
        <v>74</v>
      </c>
      <c r="G42" s="80">
        <f t="shared" si="1"/>
        <v>205</v>
      </c>
      <c r="H42" s="81" t="s">
        <v>206</v>
      </c>
      <c r="M42" s="29"/>
      <c r="N42" s="29"/>
      <c r="O42" s="29"/>
      <c r="P42" s="29"/>
      <c r="Q42" s="29"/>
      <c r="R42" s="26"/>
      <c r="S42" s="26"/>
      <c r="T42" s="26"/>
    </row>
    <row r="43" spans="1:20" ht="12.75" customHeight="1">
      <c r="A43" s="75">
        <v>40</v>
      </c>
      <c r="B43" s="31" t="s">
        <v>207</v>
      </c>
      <c r="C43" s="86" t="s">
        <v>9</v>
      </c>
      <c r="D43" s="51">
        <f>80+50</f>
        <v>130</v>
      </c>
      <c r="E43" s="33"/>
      <c r="F43" s="33">
        <f>63+70</f>
        <v>133</v>
      </c>
      <c r="G43" s="80">
        <f t="shared" si="1"/>
        <v>263</v>
      </c>
      <c r="H43" s="87"/>
      <c r="M43" s="29"/>
      <c r="N43" s="29"/>
      <c r="O43" s="29"/>
      <c r="P43" s="29"/>
      <c r="Q43" s="29"/>
      <c r="R43" s="26"/>
      <c r="S43" s="26"/>
      <c r="T43" s="26"/>
    </row>
    <row r="44" spans="1:20" ht="12.75" customHeight="1">
      <c r="A44" s="75">
        <v>41</v>
      </c>
      <c r="B44" s="31" t="s">
        <v>208</v>
      </c>
      <c r="C44" s="86" t="s">
        <v>12</v>
      </c>
      <c r="D44" s="51">
        <f>82+50</f>
        <v>132</v>
      </c>
      <c r="E44" s="33">
        <f>60+70</f>
        <v>130</v>
      </c>
      <c r="F44" s="33"/>
      <c r="G44" s="80">
        <f t="shared" si="1"/>
        <v>262</v>
      </c>
      <c r="H44" s="87"/>
      <c r="M44" s="29"/>
      <c r="N44" s="29"/>
      <c r="O44" s="29"/>
      <c r="P44" s="29"/>
      <c r="Q44" s="29"/>
      <c r="R44" s="26"/>
      <c r="S44" s="26"/>
      <c r="T44" s="26"/>
    </row>
    <row r="45" spans="1:20" ht="12.75" customHeight="1">
      <c r="A45" s="75">
        <v>42</v>
      </c>
      <c r="B45" s="31" t="s">
        <v>209</v>
      </c>
      <c r="C45" s="86" t="s">
        <v>12</v>
      </c>
      <c r="D45" s="49">
        <f>78+50</f>
        <v>128</v>
      </c>
      <c r="E45" s="33"/>
      <c r="F45" s="33">
        <f>61+70</f>
        <v>131</v>
      </c>
      <c r="G45" s="80">
        <f t="shared" si="1"/>
        <v>259</v>
      </c>
      <c r="H45" s="87"/>
      <c r="M45" s="29"/>
      <c r="N45" s="29"/>
      <c r="O45" s="29"/>
      <c r="P45" s="29"/>
      <c r="Q45" s="29"/>
      <c r="R45" s="26"/>
      <c r="S45" s="26"/>
      <c r="T45" s="26"/>
    </row>
    <row r="46" spans="1:20" ht="12.75" customHeight="1">
      <c r="A46" s="75">
        <v>43</v>
      </c>
      <c r="B46" s="31" t="s">
        <v>210</v>
      </c>
      <c r="C46" s="86" t="s">
        <v>43</v>
      </c>
      <c r="D46" s="51">
        <f>74+50</f>
        <v>124</v>
      </c>
      <c r="E46" s="33">
        <f>63+70</f>
        <v>133</v>
      </c>
      <c r="F46" s="33"/>
      <c r="G46" s="80">
        <f t="shared" si="1"/>
        <v>257</v>
      </c>
      <c r="H46" s="87"/>
      <c r="M46" s="29"/>
      <c r="N46" s="29"/>
      <c r="O46" s="29"/>
      <c r="P46" s="29"/>
      <c r="Q46" s="29"/>
      <c r="R46" s="26"/>
      <c r="S46" s="26"/>
      <c r="T46" s="26"/>
    </row>
    <row r="47" spans="1:20" ht="12.75" customHeight="1">
      <c r="A47" s="75">
        <v>44</v>
      </c>
      <c r="B47" s="31" t="s">
        <v>211</v>
      </c>
      <c r="C47" s="86" t="s">
        <v>31</v>
      </c>
      <c r="D47" s="49">
        <f>71+50</f>
        <v>121</v>
      </c>
      <c r="E47" s="33"/>
      <c r="F47" s="33">
        <f>49+70</f>
        <v>119</v>
      </c>
      <c r="G47" s="80">
        <f t="shared" si="1"/>
        <v>240</v>
      </c>
      <c r="H47" s="87"/>
      <c r="J47" s="29"/>
      <c r="K47" s="29"/>
      <c r="L47" s="29"/>
      <c r="M47" s="29"/>
      <c r="N47" s="29"/>
      <c r="O47" s="29"/>
      <c r="P47" s="29"/>
      <c r="Q47" s="29"/>
      <c r="R47" s="26"/>
      <c r="S47" s="26"/>
      <c r="T47" s="26"/>
    </row>
    <row r="48" spans="1:20" ht="12.75" customHeight="1">
      <c r="A48" s="75">
        <v>45</v>
      </c>
      <c r="B48" s="31" t="s">
        <v>212</v>
      </c>
      <c r="C48" s="86" t="s">
        <v>20</v>
      </c>
      <c r="D48" s="49">
        <f>66+50</f>
        <v>116</v>
      </c>
      <c r="E48" s="37"/>
      <c r="F48" s="37">
        <f>54+70</f>
        <v>124</v>
      </c>
      <c r="G48" s="80">
        <f t="shared" si="1"/>
        <v>240</v>
      </c>
      <c r="H48" s="87"/>
      <c r="J48" s="41"/>
      <c r="K48" s="26"/>
      <c r="L48" s="26"/>
      <c r="M48" s="29"/>
      <c r="N48" s="29"/>
      <c r="O48" s="29"/>
      <c r="P48" s="29"/>
      <c r="Q48" s="29"/>
      <c r="R48" s="26"/>
      <c r="S48" s="26"/>
      <c r="T48" s="26"/>
    </row>
    <row r="49" spans="1:20" ht="12.75" customHeight="1">
      <c r="A49" s="75">
        <v>46</v>
      </c>
      <c r="B49" s="31" t="s">
        <v>213</v>
      </c>
      <c r="C49" s="86" t="s">
        <v>48</v>
      </c>
      <c r="D49" s="49">
        <f>57+50</f>
        <v>107</v>
      </c>
      <c r="E49" s="33">
        <f>54+70</f>
        <v>124</v>
      </c>
      <c r="F49" s="33"/>
      <c r="G49" s="80">
        <f t="shared" si="1"/>
        <v>231</v>
      </c>
      <c r="H49" s="87"/>
      <c r="I49" s="22"/>
      <c r="J49" s="23"/>
      <c r="K49" s="23"/>
      <c r="L49" s="26"/>
      <c r="M49" s="29"/>
      <c r="N49" s="29"/>
      <c r="O49" s="29"/>
      <c r="P49" s="29"/>
      <c r="Q49" s="29"/>
      <c r="R49" s="26"/>
      <c r="S49" s="26"/>
      <c r="T49" s="26"/>
    </row>
    <row r="50" spans="1:20" ht="12.75" customHeight="1">
      <c r="A50" s="75">
        <v>47</v>
      </c>
      <c r="B50" s="31" t="s">
        <v>214</v>
      </c>
      <c r="C50" s="86" t="s">
        <v>61</v>
      </c>
      <c r="D50" s="49">
        <f>52+50</f>
        <v>102</v>
      </c>
      <c r="E50" s="33"/>
      <c r="F50" s="33">
        <f>33+70</f>
        <v>103</v>
      </c>
      <c r="G50" s="80">
        <f t="shared" si="1"/>
        <v>205</v>
      </c>
      <c r="H50" s="87"/>
      <c r="I50" s="22"/>
      <c r="J50" s="23"/>
      <c r="K50" s="23"/>
      <c r="L50" s="29"/>
      <c r="M50" s="29"/>
      <c r="N50" s="29"/>
      <c r="O50" s="29"/>
      <c r="P50" s="29"/>
      <c r="Q50" s="29"/>
      <c r="R50" s="26"/>
      <c r="S50" s="26"/>
      <c r="T50" s="26"/>
    </row>
    <row r="51" spans="1:20" ht="12.75" customHeight="1">
      <c r="A51" s="75">
        <v>48</v>
      </c>
      <c r="B51" s="31" t="s">
        <v>215</v>
      </c>
      <c r="C51" s="86" t="s">
        <v>36</v>
      </c>
      <c r="D51" s="51"/>
      <c r="E51" s="33">
        <f>26+70</f>
        <v>96</v>
      </c>
      <c r="F51" s="33">
        <f>32+70</f>
        <v>102</v>
      </c>
      <c r="G51" s="80">
        <f t="shared" si="1"/>
        <v>198</v>
      </c>
      <c r="H51" s="87"/>
      <c r="I51" s="22"/>
      <c r="J51" s="23"/>
      <c r="K51" s="23"/>
      <c r="L51" s="26"/>
      <c r="M51" s="29"/>
      <c r="N51" s="29"/>
      <c r="O51" s="29"/>
      <c r="P51" s="29"/>
      <c r="Q51" s="29"/>
      <c r="R51" s="26"/>
      <c r="S51" s="26"/>
      <c r="T51" s="26"/>
    </row>
    <row r="52" spans="1:20" ht="12.75" customHeight="1">
      <c r="A52" s="75">
        <v>49</v>
      </c>
      <c r="B52" s="31" t="s">
        <v>216</v>
      </c>
      <c r="C52" s="86" t="s">
        <v>36</v>
      </c>
      <c r="D52" s="51">
        <f>48+50</f>
        <v>98</v>
      </c>
      <c r="E52" s="33">
        <f>28+70</f>
        <v>98</v>
      </c>
      <c r="F52" s="33"/>
      <c r="G52" s="80">
        <f t="shared" si="1"/>
        <v>196</v>
      </c>
      <c r="H52" s="87"/>
      <c r="I52" s="22"/>
      <c r="J52" s="23"/>
      <c r="K52" s="23"/>
      <c r="L52" s="26"/>
      <c r="M52" s="26"/>
      <c r="N52" s="26"/>
      <c r="O52" s="26"/>
      <c r="P52" s="26"/>
      <c r="Q52" s="26"/>
      <c r="R52" s="26"/>
      <c r="S52" s="26"/>
      <c r="T52" s="26"/>
    </row>
    <row r="53" spans="1:20" ht="12.75" customHeight="1">
      <c r="A53" s="75">
        <v>50</v>
      </c>
      <c r="B53" s="31" t="s">
        <v>217</v>
      </c>
      <c r="C53" s="86" t="s">
        <v>12</v>
      </c>
      <c r="D53" s="49">
        <f>33+50</f>
        <v>83</v>
      </c>
      <c r="E53" s="33"/>
      <c r="F53" s="33">
        <f>42+70</f>
        <v>112</v>
      </c>
      <c r="G53" s="80">
        <f t="shared" si="1"/>
        <v>195</v>
      </c>
      <c r="H53" s="87"/>
      <c r="I53" s="22"/>
      <c r="J53" s="23"/>
      <c r="K53" s="23"/>
      <c r="L53" s="26"/>
      <c r="M53" s="26"/>
      <c r="N53" s="26"/>
      <c r="O53" s="26"/>
      <c r="P53" s="26"/>
      <c r="Q53" s="26"/>
      <c r="R53" s="26"/>
      <c r="S53" s="26"/>
      <c r="T53" s="26"/>
    </row>
    <row r="54" spans="1:20" ht="12.75" customHeight="1">
      <c r="A54" s="75">
        <v>51</v>
      </c>
      <c r="B54" s="31" t="s">
        <v>218</v>
      </c>
      <c r="C54" s="86" t="s">
        <v>56</v>
      </c>
      <c r="D54" s="51"/>
      <c r="E54" s="33">
        <f>21+70</f>
        <v>91</v>
      </c>
      <c r="F54" s="33">
        <f>28+70</f>
        <v>98</v>
      </c>
      <c r="G54" s="80">
        <f t="shared" si="1"/>
        <v>189</v>
      </c>
      <c r="H54" s="87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</row>
    <row r="55" spans="1:20" ht="12.75" customHeight="1">
      <c r="A55" s="75">
        <v>52</v>
      </c>
      <c r="B55" s="31" t="s">
        <v>219</v>
      </c>
      <c r="C55" s="86" t="s">
        <v>12</v>
      </c>
      <c r="D55" s="51"/>
      <c r="E55" s="33">
        <f>23+70</f>
        <v>93</v>
      </c>
      <c r="F55" s="33">
        <f>25+70</f>
        <v>95</v>
      </c>
      <c r="G55" s="80">
        <f t="shared" si="1"/>
        <v>188</v>
      </c>
      <c r="H55" s="87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</row>
    <row r="56" spans="1:20" ht="12.75" customHeight="1">
      <c r="A56" s="75">
        <v>53</v>
      </c>
      <c r="B56" s="31" t="s">
        <v>220</v>
      </c>
      <c r="C56" s="86" t="s">
        <v>53</v>
      </c>
      <c r="D56" s="49">
        <f>46+50</f>
        <v>96</v>
      </c>
      <c r="E56" s="37"/>
      <c r="F56" s="37">
        <f>22+70</f>
        <v>92</v>
      </c>
      <c r="G56" s="80">
        <f t="shared" si="1"/>
        <v>188</v>
      </c>
      <c r="H56" s="87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</row>
    <row r="57" spans="1:20" ht="12.75" customHeight="1">
      <c r="A57" s="75">
        <v>54</v>
      </c>
      <c r="B57" s="31" t="s">
        <v>221</v>
      </c>
      <c r="C57" s="86" t="s">
        <v>43</v>
      </c>
      <c r="D57" s="49">
        <f>41+50</f>
        <v>91</v>
      </c>
      <c r="E57" s="37">
        <f>14+70</f>
        <v>84</v>
      </c>
      <c r="F57" s="37"/>
      <c r="G57" s="80">
        <f t="shared" si="1"/>
        <v>175</v>
      </c>
      <c r="H57" s="87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</row>
    <row r="58" spans="1:20" ht="12.75" customHeight="1">
      <c r="A58" s="75">
        <v>55</v>
      </c>
      <c r="B58" s="31" t="s">
        <v>222</v>
      </c>
      <c r="C58" s="86" t="s">
        <v>53</v>
      </c>
      <c r="D58" s="49">
        <f>20+50</f>
        <v>70</v>
      </c>
      <c r="E58" s="33">
        <f>31+70</f>
        <v>101</v>
      </c>
      <c r="F58" s="33"/>
      <c r="G58" s="80">
        <f t="shared" si="1"/>
        <v>171</v>
      </c>
      <c r="H58" s="87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</row>
    <row r="59" spans="1:20" ht="12.75" customHeight="1">
      <c r="A59" s="75">
        <v>56</v>
      </c>
      <c r="B59" s="31" t="s">
        <v>223</v>
      </c>
      <c r="C59" s="86" t="s">
        <v>61</v>
      </c>
      <c r="D59" s="51">
        <f>18+50</f>
        <v>68</v>
      </c>
      <c r="E59" s="33">
        <f>22+70</f>
        <v>92</v>
      </c>
      <c r="F59" s="33"/>
      <c r="G59" s="80">
        <f t="shared" si="1"/>
        <v>160</v>
      </c>
      <c r="H59" s="87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</row>
    <row r="60" spans="1:20" ht="12.75" customHeight="1">
      <c r="A60" s="75">
        <v>57</v>
      </c>
      <c r="B60" s="31" t="s">
        <v>224</v>
      </c>
      <c r="C60" s="86" t="s">
        <v>43</v>
      </c>
      <c r="D60" s="49">
        <f>21+50</f>
        <v>71</v>
      </c>
      <c r="E60" s="33">
        <f>16+70</f>
        <v>86</v>
      </c>
      <c r="F60" s="33"/>
      <c r="G60" s="80">
        <f t="shared" si="1"/>
        <v>157</v>
      </c>
      <c r="H60" s="87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</row>
    <row r="61" spans="1:20" ht="12.75" customHeight="1">
      <c r="A61" s="75">
        <v>58</v>
      </c>
      <c r="B61" s="31" t="s">
        <v>225</v>
      </c>
      <c r="C61" s="86" t="s">
        <v>12</v>
      </c>
      <c r="D61" s="51"/>
      <c r="E61" s="33">
        <f>5+70</f>
        <v>75</v>
      </c>
      <c r="F61" s="33">
        <f>8+70</f>
        <v>78</v>
      </c>
      <c r="G61" s="80">
        <f t="shared" si="1"/>
        <v>153</v>
      </c>
      <c r="H61" s="87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</row>
    <row r="62" spans="1:20" ht="12.75" customHeight="1">
      <c r="A62" s="75">
        <v>59</v>
      </c>
      <c r="B62" s="31" t="s">
        <v>226</v>
      </c>
      <c r="C62" s="86" t="s">
        <v>36</v>
      </c>
      <c r="D62" s="49">
        <f>13+50</f>
        <v>63</v>
      </c>
      <c r="E62" s="33">
        <f>20+70</f>
        <v>90</v>
      </c>
      <c r="F62" s="33"/>
      <c r="G62" s="80">
        <f t="shared" si="1"/>
        <v>153</v>
      </c>
      <c r="H62" s="87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</row>
    <row r="63" spans="1:20" ht="12.75" customHeight="1">
      <c r="A63" s="75">
        <v>60</v>
      </c>
      <c r="B63" s="31" t="s">
        <v>227</v>
      </c>
      <c r="C63" s="86" t="s">
        <v>9</v>
      </c>
      <c r="D63" s="51">
        <f>15+50</f>
        <v>65</v>
      </c>
      <c r="E63" s="33"/>
      <c r="F63" s="33">
        <f>11+70</f>
        <v>81</v>
      </c>
      <c r="G63" s="80">
        <f t="shared" si="1"/>
        <v>146</v>
      </c>
      <c r="H63" s="87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</row>
    <row r="64" spans="1:20" ht="12.75" customHeight="1">
      <c r="A64" s="75">
        <v>61</v>
      </c>
      <c r="B64" s="31" t="s">
        <v>228</v>
      </c>
      <c r="C64" s="86" t="s">
        <v>43</v>
      </c>
      <c r="D64" s="54">
        <f>16+50</f>
        <v>66</v>
      </c>
      <c r="E64" s="33"/>
      <c r="F64" s="33">
        <f>7+70</f>
        <v>77</v>
      </c>
      <c r="G64" s="80">
        <f t="shared" si="1"/>
        <v>143</v>
      </c>
      <c r="H64" s="87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</row>
    <row r="65" spans="1:8" ht="12.75" customHeight="1">
      <c r="A65" s="75">
        <v>62</v>
      </c>
      <c r="B65" s="31" t="s">
        <v>229</v>
      </c>
      <c r="C65" s="86" t="s">
        <v>12</v>
      </c>
      <c r="D65" s="49">
        <f>5+50</f>
        <v>55</v>
      </c>
      <c r="E65" s="37">
        <f>8+70</f>
        <v>78</v>
      </c>
      <c r="F65" s="37"/>
      <c r="G65" s="80">
        <f t="shared" si="1"/>
        <v>133</v>
      </c>
      <c r="H65" s="87"/>
    </row>
    <row r="66" spans="1:8" ht="12.75" customHeight="1">
      <c r="A66" s="75">
        <v>63</v>
      </c>
      <c r="B66" s="31" t="s">
        <v>230</v>
      </c>
      <c r="C66" s="86" t="s">
        <v>12</v>
      </c>
      <c r="D66" s="51"/>
      <c r="E66" s="33"/>
      <c r="F66" s="33">
        <f>60+70</f>
        <v>130</v>
      </c>
      <c r="G66" s="80">
        <f t="shared" si="1"/>
        <v>130</v>
      </c>
      <c r="H66" s="87"/>
    </row>
    <row r="67" spans="1:8" ht="12.75" customHeight="1">
      <c r="A67" s="75">
        <v>64</v>
      </c>
      <c r="B67" s="31" t="s">
        <v>231</v>
      </c>
      <c r="C67" s="86" t="s">
        <v>61</v>
      </c>
      <c r="D67" s="51"/>
      <c r="E67" s="33"/>
      <c r="F67" s="33">
        <f>59+70</f>
        <v>129</v>
      </c>
      <c r="G67" s="80">
        <f t="shared" si="1"/>
        <v>129</v>
      </c>
      <c r="H67" s="87"/>
    </row>
    <row r="68" spans="1:8" ht="12.75" customHeight="1">
      <c r="A68" s="75">
        <v>65</v>
      </c>
      <c r="B68" s="31" t="s">
        <v>232</v>
      </c>
      <c r="C68" s="86" t="s">
        <v>12</v>
      </c>
      <c r="D68" s="51"/>
      <c r="E68" s="33">
        <f>59+70</f>
        <v>129</v>
      </c>
      <c r="F68" s="33"/>
      <c r="G68" s="80">
        <f aca="true" t="shared" si="2" ref="G68:G99">SUM(D68:F68)</f>
        <v>129</v>
      </c>
      <c r="H68" s="87"/>
    </row>
    <row r="69" spans="1:8" ht="12.75" customHeight="1">
      <c r="A69" s="75">
        <v>66</v>
      </c>
      <c r="B69" s="31" t="s">
        <v>233</v>
      </c>
      <c r="C69" s="86" t="s">
        <v>99</v>
      </c>
      <c r="D69" s="49"/>
      <c r="E69" s="33"/>
      <c r="F69" s="33">
        <f>58+70</f>
        <v>128</v>
      </c>
      <c r="G69" s="80">
        <f t="shared" si="2"/>
        <v>128</v>
      </c>
      <c r="H69" s="87"/>
    </row>
    <row r="70" spans="1:8" ht="12.75" customHeight="1">
      <c r="A70" s="75">
        <v>67</v>
      </c>
      <c r="B70" s="31" t="s">
        <v>234</v>
      </c>
      <c r="C70" s="86" t="s">
        <v>68</v>
      </c>
      <c r="D70" s="49"/>
      <c r="E70" s="33">
        <f>58+70</f>
        <v>128</v>
      </c>
      <c r="F70" s="33"/>
      <c r="G70" s="80">
        <f t="shared" si="2"/>
        <v>128</v>
      </c>
      <c r="H70" s="87"/>
    </row>
    <row r="71" spans="1:8" ht="12.75" customHeight="1">
      <c r="A71" s="75">
        <v>68</v>
      </c>
      <c r="B71" s="31" t="s">
        <v>235</v>
      </c>
      <c r="C71" s="86" t="s">
        <v>43</v>
      </c>
      <c r="D71" s="49">
        <f>3+50</f>
        <v>53</v>
      </c>
      <c r="E71" s="33">
        <f>4+70</f>
        <v>74</v>
      </c>
      <c r="F71" s="33"/>
      <c r="G71" s="80">
        <f t="shared" si="2"/>
        <v>127</v>
      </c>
      <c r="H71" s="87"/>
    </row>
    <row r="72" spans="1:8" ht="12.75" customHeight="1">
      <c r="A72" s="75">
        <v>69</v>
      </c>
      <c r="B72" s="42" t="s">
        <v>236</v>
      </c>
      <c r="C72" s="88" t="s">
        <v>48</v>
      </c>
      <c r="D72" s="54"/>
      <c r="E72" s="47">
        <f>56+70</f>
        <v>126</v>
      </c>
      <c r="F72" s="47"/>
      <c r="G72" s="80">
        <f t="shared" si="2"/>
        <v>126</v>
      </c>
      <c r="H72" s="87"/>
    </row>
    <row r="73" spans="1:8" ht="12.75" customHeight="1">
      <c r="A73" s="75">
        <v>70</v>
      </c>
      <c r="B73" s="31" t="s">
        <v>237</v>
      </c>
      <c r="C73" s="86" t="s">
        <v>61</v>
      </c>
      <c r="D73" s="51"/>
      <c r="E73" s="51">
        <f>55+70</f>
        <v>125</v>
      </c>
      <c r="F73" s="51"/>
      <c r="G73" s="80">
        <f t="shared" si="2"/>
        <v>125</v>
      </c>
      <c r="H73" s="87"/>
    </row>
    <row r="74" spans="1:8" ht="12.75" customHeight="1">
      <c r="A74" s="75">
        <v>71</v>
      </c>
      <c r="B74" s="31" t="s">
        <v>238</v>
      </c>
      <c r="C74" s="86" t="s">
        <v>56</v>
      </c>
      <c r="D74" s="51">
        <f>1+50</f>
        <v>51</v>
      </c>
      <c r="E74" s="51"/>
      <c r="F74" s="51">
        <f>2+70</f>
        <v>72</v>
      </c>
      <c r="G74" s="80">
        <f t="shared" si="2"/>
        <v>123</v>
      </c>
      <c r="H74" s="87"/>
    </row>
    <row r="75" spans="1:8" ht="12.75" customHeight="1">
      <c r="A75" s="75">
        <v>72</v>
      </c>
      <c r="B75" s="31" t="s">
        <v>239</v>
      </c>
      <c r="C75" s="86" t="s">
        <v>12</v>
      </c>
      <c r="D75" s="51"/>
      <c r="E75" s="51">
        <f>52+70</f>
        <v>122</v>
      </c>
      <c r="F75" s="51"/>
      <c r="G75" s="80">
        <f t="shared" si="2"/>
        <v>122</v>
      </c>
      <c r="H75" s="87"/>
    </row>
    <row r="76" spans="1:8" ht="12.75" customHeight="1">
      <c r="A76" s="75">
        <v>73</v>
      </c>
      <c r="B76" s="31" t="s">
        <v>240</v>
      </c>
      <c r="C76" s="86" t="s">
        <v>48</v>
      </c>
      <c r="D76" s="49">
        <f>72+50</f>
        <v>122</v>
      </c>
      <c r="E76" s="51"/>
      <c r="F76" s="51"/>
      <c r="G76" s="80">
        <f t="shared" si="2"/>
        <v>122</v>
      </c>
      <c r="H76" s="87"/>
    </row>
    <row r="77" spans="1:8" ht="12.75" customHeight="1">
      <c r="A77" s="75">
        <v>74</v>
      </c>
      <c r="B77" s="31" t="s">
        <v>241</v>
      </c>
      <c r="C77" s="86" t="s">
        <v>12</v>
      </c>
      <c r="D77" s="49">
        <f>70+50</f>
        <v>120</v>
      </c>
      <c r="E77" s="49"/>
      <c r="F77" s="49"/>
      <c r="G77" s="80">
        <f t="shared" si="2"/>
        <v>120</v>
      </c>
      <c r="H77" s="87"/>
    </row>
    <row r="78" spans="1:8" ht="12.75" customHeight="1">
      <c r="A78" s="75">
        <v>75</v>
      </c>
      <c r="B78" s="31" t="s">
        <v>242</v>
      </c>
      <c r="C78" s="86" t="s">
        <v>243</v>
      </c>
      <c r="D78" s="49"/>
      <c r="E78" s="51"/>
      <c r="F78" s="51">
        <f>50+70</f>
        <v>120</v>
      </c>
      <c r="G78" s="80">
        <f t="shared" si="2"/>
        <v>120</v>
      </c>
      <c r="H78" s="87"/>
    </row>
    <row r="79" spans="1:8" ht="12.75" customHeight="1">
      <c r="A79" s="75">
        <v>76</v>
      </c>
      <c r="B79" s="31" t="s">
        <v>244</v>
      </c>
      <c r="C79" s="86" t="s">
        <v>56</v>
      </c>
      <c r="D79" s="51">
        <f>68+50</f>
        <v>118</v>
      </c>
      <c r="E79" s="51"/>
      <c r="F79" s="51"/>
      <c r="G79" s="80">
        <f t="shared" si="2"/>
        <v>118</v>
      </c>
      <c r="H79" s="87"/>
    </row>
    <row r="80" spans="1:8" ht="12.75" customHeight="1">
      <c r="A80" s="75">
        <v>77</v>
      </c>
      <c r="B80" s="31" t="s">
        <v>245</v>
      </c>
      <c r="C80" s="86" t="s">
        <v>48</v>
      </c>
      <c r="D80" s="49"/>
      <c r="E80" s="51"/>
      <c r="F80" s="51">
        <f>47+70</f>
        <v>117</v>
      </c>
      <c r="G80" s="80">
        <f t="shared" si="2"/>
        <v>117</v>
      </c>
      <c r="H80" s="87"/>
    </row>
    <row r="81" spans="1:8" ht="12.75" customHeight="1">
      <c r="A81" s="75">
        <v>78</v>
      </c>
      <c r="B81" s="31" t="s">
        <v>246</v>
      </c>
      <c r="C81" s="86" t="s">
        <v>12</v>
      </c>
      <c r="D81" s="51"/>
      <c r="E81" s="51">
        <f>45+70</f>
        <v>115</v>
      </c>
      <c r="F81" s="51"/>
      <c r="G81" s="80">
        <f t="shared" si="2"/>
        <v>115</v>
      </c>
      <c r="H81" s="87"/>
    </row>
    <row r="82" spans="1:8" ht="12.75" customHeight="1">
      <c r="A82" s="75">
        <v>79</v>
      </c>
      <c r="B82" s="31" t="s">
        <v>247</v>
      </c>
      <c r="C82" s="86" t="s">
        <v>99</v>
      </c>
      <c r="D82" s="51"/>
      <c r="E82" s="51"/>
      <c r="F82" s="51">
        <f>44+70</f>
        <v>114</v>
      </c>
      <c r="G82" s="80">
        <f t="shared" si="2"/>
        <v>114</v>
      </c>
      <c r="H82" s="87"/>
    </row>
    <row r="83" spans="1:8" ht="12.75" customHeight="1">
      <c r="A83" s="75">
        <v>80</v>
      </c>
      <c r="B83" s="31" t="s">
        <v>248</v>
      </c>
      <c r="C83" s="86" t="s">
        <v>43</v>
      </c>
      <c r="D83" s="49">
        <f>64+50</f>
        <v>114</v>
      </c>
      <c r="E83" s="51"/>
      <c r="F83" s="51"/>
      <c r="G83" s="80">
        <f t="shared" si="2"/>
        <v>114</v>
      </c>
      <c r="H83" s="87"/>
    </row>
    <row r="84" spans="1:8" ht="12.75" customHeight="1">
      <c r="A84" s="75">
        <v>81</v>
      </c>
      <c r="B84" s="31" t="s">
        <v>249</v>
      </c>
      <c r="C84" s="86" t="s">
        <v>12</v>
      </c>
      <c r="D84" s="49"/>
      <c r="E84" s="53"/>
      <c r="F84" s="49">
        <f>43+70</f>
        <v>113</v>
      </c>
      <c r="G84" s="80">
        <f t="shared" si="2"/>
        <v>113</v>
      </c>
      <c r="H84" s="87"/>
    </row>
    <row r="85" spans="1:8" ht="12.75" customHeight="1">
      <c r="A85" s="75">
        <v>82</v>
      </c>
      <c r="B85" s="31" t="s">
        <v>250</v>
      </c>
      <c r="C85" s="86" t="s">
        <v>43</v>
      </c>
      <c r="D85" s="49">
        <f>61+50</f>
        <v>111</v>
      </c>
      <c r="E85" s="51"/>
      <c r="F85" s="51"/>
      <c r="G85" s="80">
        <f t="shared" si="2"/>
        <v>111</v>
      </c>
      <c r="H85" s="87"/>
    </row>
    <row r="86" spans="1:8" ht="12.75" customHeight="1">
      <c r="A86" s="75">
        <v>83</v>
      </c>
      <c r="B86" s="31" t="s">
        <v>251</v>
      </c>
      <c r="C86" s="86" t="s">
        <v>43</v>
      </c>
      <c r="D86" s="49">
        <f>60+50</f>
        <v>110</v>
      </c>
      <c r="E86" s="54"/>
      <c r="F86" s="51"/>
      <c r="G86" s="80">
        <f t="shared" si="2"/>
        <v>110</v>
      </c>
      <c r="H86" s="87"/>
    </row>
    <row r="87" spans="1:8" ht="12.75" customHeight="1">
      <c r="A87" s="75">
        <v>84</v>
      </c>
      <c r="B87" s="31" t="s">
        <v>252</v>
      </c>
      <c r="C87" s="86" t="s">
        <v>43</v>
      </c>
      <c r="D87" s="51">
        <f>59+50</f>
        <v>109</v>
      </c>
      <c r="E87" s="54"/>
      <c r="F87" s="51"/>
      <c r="G87" s="80">
        <f t="shared" si="2"/>
        <v>109</v>
      </c>
      <c r="H87" s="87"/>
    </row>
    <row r="88" spans="1:8" ht="12.75" customHeight="1">
      <c r="A88" s="75">
        <v>85</v>
      </c>
      <c r="B88" s="31" t="s">
        <v>253</v>
      </c>
      <c r="C88" s="86" t="s">
        <v>12</v>
      </c>
      <c r="D88" s="49"/>
      <c r="E88" s="89">
        <f>38+70</f>
        <v>108</v>
      </c>
      <c r="F88" s="51"/>
      <c r="G88" s="80">
        <f t="shared" si="2"/>
        <v>108</v>
      </c>
      <c r="H88" s="87"/>
    </row>
    <row r="89" spans="1:8" ht="12.75" customHeight="1">
      <c r="A89" s="75">
        <v>86</v>
      </c>
      <c r="B89" s="31" t="s">
        <v>254</v>
      </c>
      <c r="C89" s="86" t="s">
        <v>9</v>
      </c>
      <c r="D89" s="49">
        <f>54+50</f>
        <v>104</v>
      </c>
      <c r="E89" s="51"/>
      <c r="F89" s="51"/>
      <c r="G89" s="80">
        <f t="shared" si="2"/>
        <v>104</v>
      </c>
      <c r="H89" s="87"/>
    </row>
    <row r="90" spans="1:8" ht="12.75" customHeight="1">
      <c r="A90" s="75">
        <v>87</v>
      </c>
      <c r="B90" s="31" t="s">
        <v>255</v>
      </c>
      <c r="C90" s="86" t="s">
        <v>36</v>
      </c>
      <c r="D90" s="51"/>
      <c r="E90" s="51">
        <f>29+70</f>
        <v>99</v>
      </c>
      <c r="F90" s="51"/>
      <c r="G90" s="80">
        <f t="shared" si="2"/>
        <v>99</v>
      </c>
      <c r="H90" s="87"/>
    </row>
    <row r="91" spans="1:8" ht="12.75" customHeight="1">
      <c r="A91" s="75">
        <v>88</v>
      </c>
      <c r="B91" s="31" t="s">
        <v>256</v>
      </c>
      <c r="C91" s="86" t="s">
        <v>48</v>
      </c>
      <c r="D91" s="49">
        <f>47+50</f>
        <v>97</v>
      </c>
      <c r="E91" s="53"/>
      <c r="F91" s="49"/>
      <c r="G91" s="80">
        <f t="shared" si="2"/>
        <v>97</v>
      </c>
      <c r="H91" s="87"/>
    </row>
    <row r="92" spans="1:8" ht="12.75" customHeight="1">
      <c r="A92" s="75">
        <v>89</v>
      </c>
      <c r="B92" s="31" t="s">
        <v>257</v>
      </c>
      <c r="C92" s="86" t="s">
        <v>20</v>
      </c>
      <c r="D92" s="51"/>
      <c r="E92" s="51">
        <f>25+70</f>
        <v>95</v>
      </c>
      <c r="F92" s="51"/>
      <c r="G92" s="80">
        <f t="shared" si="2"/>
        <v>95</v>
      </c>
      <c r="H92" s="87"/>
    </row>
    <row r="93" spans="1:8" ht="12.75" customHeight="1">
      <c r="A93" s="75">
        <v>90</v>
      </c>
      <c r="B93" s="31" t="s">
        <v>258</v>
      </c>
      <c r="C93" s="86" t="s">
        <v>12</v>
      </c>
      <c r="D93" s="49">
        <f>44+50</f>
        <v>94</v>
      </c>
      <c r="E93" s="49"/>
      <c r="F93" s="49"/>
      <c r="G93" s="80">
        <f t="shared" si="2"/>
        <v>94</v>
      </c>
      <c r="H93" s="87"/>
    </row>
    <row r="94" spans="1:8" ht="12.75" customHeight="1">
      <c r="A94" s="75">
        <v>91</v>
      </c>
      <c r="B94" s="31" t="s">
        <v>259</v>
      </c>
      <c r="C94" s="86" t="s">
        <v>56</v>
      </c>
      <c r="D94" s="49">
        <f>42+50</f>
        <v>92</v>
      </c>
      <c r="E94" s="51"/>
      <c r="F94" s="51"/>
      <c r="G94" s="80">
        <f t="shared" si="2"/>
        <v>92</v>
      </c>
      <c r="H94" s="87"/>
    </row>
    <row r="95" spans="1:8" ht="12.75" customHeight="1">
      <c r="A95" s="75">
        <v>92</v>
      </c>
      <c r="B95" s="31" t="s">
        <v>260</v>
      </c>
      <c r="C95" s="86" t="s">
        <v>68</v>
      </c>
      <c r="D95" s="51"/>
      <c r="E95" s="51"/>
      <c r="F95" s="51">
        <f>21+70</f>
        <v>91</v>
      </c>
      <c r="G95" s="80">
        <f t="shared" si="2"/>
        <v>91</v>
      </c>
      <c r="H95" s="87"/>
    </row>
    <row r="96" spans="1:8" ht="12.75" customHeight="1">
      <c r="A96" s="75">
        <v>93</v>
      </c>
      <c r="B96" s="31" t="s">
        <v>261</v>
      </c>
      <c r="C96" s="86" t="s">
        <v>99</v>
      </c>
      <c r="D96" s="49"/>
      <c r="E96" s="51"/>
      <c r="F96" s="51">
        <f>19+70</f>
        <v>89</v>
      </c>
      <c r="G96" s="80">
        <f t="shared" si="2"/>
        <v>89</v>
      </c>
      <c r="H96" s="87"/>
    </row>
    <row r="97" spans="1:8" ht="12.75" customHeight="1">
      <c r="A97" s="75">
        <v>94</v>
      </c>
      <c r="B97" s="31" t="s">
        <v>262</v>
      </c>
      <c r="C97" s="86" t="s">
        <v>99</v>
      </c>
      <c r="D97" s="49"/>
      <c r="E97" s="51"/>
      <c r="F97" s="51">
        <f>18+70</f>
        <v>88</v>
      </c>
      <c r="G97" s="80">
        <f t="shared" si="2"/>
        <v>88</v>
      </c>
      <c r="H97" s="87"/>
    </row>
    <row r="98" spans="1:8" ht="12.75" customHeight="1">
      <c r="A98" s="75">
        <v>95</v>
      </c>
      <c r="B98" s="31" t="s">
        <v>263</v>
      </c>
      <c r="C98" s="86" t="s">
        <v>68</v>
      </c>
      <c r="D98" s="51"/>
      <c r="E98" s="51"/>
      <c r="F98" s="51">
        <f>17+70</f>
        <v>87</v>
      </c>
      <c r="G98" s="80">
        <f t="shared" si="2"/>
        <v>87</v>
      </c>
      <c r="H98" s="87"/>
    </row>
    <row r="99" spans="1:8" ht="12.75" customHeight="1">
      <c r="A99" s="75">
        <v>96</v>
      </c>
      <c r="B99" s="31" t="s">
        <v>264</v>
      </c>
      <c r="C99" s="86" t="s">
        <v>265</v>
      </c>
      <c r="D99" s="51"/>
      <c r="E99" s="51">
        <f>15+70</f>
        <v>85</v>
      </c>
      <c r="F99" s="51"/>
      <c r="G99" s="80">
        <f t="shared" si="2"/>
        <v>85</v>
      </c>
      <c r="H99" s="87"/>
    </row>
    <row r="100" spans="1:8" ht="12.75" customHeight="1">
      <c r="A100" s="75">
        <v>97</v>
      </c>
      <c r="B100" s="31" t="s">
        <v>266</v>
      </c>
      <c r="C100" s="86" t="s">
        <v>99</v>
      </c>
      <c r="D100" s="49"/>
      <c r="E100" s="51"/>
      <c r="F100" s="51">
        <f>14+70</f>
        <v>84</v>
      </c>
      <c r="G100" s="80">
        <f aca="true" t="shared" si="3" ref="G100:G121">SUM(D100:F100)</f>
        <v>84</v>
      </c>
      <c r="H100" s="87"/>
    </row>
    <row r="101" spans="1:8" ht="12.75" customHeight="1">
      <c r="A101" s="75">
        <v>98</v>
      </c>
      <c r="B101" s="31" t="s">
        <v>267</v>
      </c>
      <c r="C101" s="86" t="s">
        <v>53</v>
      </c>
      <c r="D101" s="51">
        <f>34+50</f>
        <v>84</v>
      </c>
      <c r="E101" s="51"/>
      <c r="F101" s="51"/>
      <c r="G101" s="80">
        <f t="shared" si="3"/>
        <v>84</v>
      </c>
      <c r="H101" s="87"/>
    </row>
    <row r="102" spans="1:8" ht="12.75" customHeight="1">
      <c r="A102" s="75">
        <v>99</v>
      </c>
      <c r="B102" s="31" t="s">
        <v>268</v>
      </c>
      <c r="C102" s="86" t="s">
        <v>12</v>
      </c>
      <c r="D102" s="51"/>
      <c r="E102" s="51">
        <f>12+70</f>
        <v>82</v>
      </c>
      <c r="F102" s="51"/>
      <c r="G102" s="80">
        <f t="shared" si="3"/>
        <v>82</v>
      </c>
      <c r="H102" s="87"/>
    </row>
    <row r="103" spans="1:8" ht="12.75" customHeight="1">
      <c r="A103" s="75">
        <v>100</v>
      </c>
      <c r="B103" s="31" t="s">
        <v>269</v>
      </c>
      <c r="C103" s="86" t="s">
        <v>20</v>
      </c>
      <c r="D103" s="49">
        <f>32+50</f>
        <v>82</v>
      </c>
      <c r="E103" s="49"/>
      <c r="F103" s="49"/>
      <c r="G103" s="80">
        <f t="shared" si="3"/>
        <v>82</v>
      </c>
      <c r="H103" s="87"/>
    </row>
    <row r="104" spans="1:8" ht="12.75" customHeight="1">
      <c r="A104" s="75">
        <v>101</v>
      </c>
      <c r="B104" s="31" t="s">
        <v>270</v>
      </c>
      <c r="C104" s="86" t="s">
        <v>9</v>
      </c>
      <c r="D104" s="49">
        <f>31+50</f>
        <v>81</v>
      </c>
      <c r="E104" s="53"/>
      <c r="F104" s="49"/>
      <c r="G104" s="80">
        <f t="shared" si="3"/>
        <v>81</v>
      </c>
      <c r="H104" s="87"/>
    </row>
    <row r="105" spans="1:8" ht="12.75" customHeight="1">
      <c r="A105" s="75">
        <v>102</v>
      </c>
      <c r="B105" s="31" t="s">
        <v>271</v>
      </c>
      <c r="C105" s="86" t="s">
        <v>9</v>
      </c>
      <c r="D105" s="51"/>
      <c r="E105" s="51">
        <f>10+70</f>
        <v>80</v>
      </c>
      <c r="F105" s="51"/>
      <c r="G105" s="80">
        <f t="shared" si="3"/>
        <v>80</v>
      </c>
      <c r="H105" s="87"/>
    </row>
    <row r="106" spans="1:8" ht="12.75" customHeight="1">
      <c r="A106" s="75">
        <v>103</v>
      </c>
      <c r="B106" s="31" t="s">
        <v>272</v>
      </c>
      <c r="C106" s="86" t="s">
        <v>61</v>
      </c>
      <c r="D106" s="49">
        <f>29+50</f>
        <v>79</v>
      </c>
      <c r="E106" s="51"/>
      <c r="F106" s="51"/>
      <c r="G106" s="80">
        <f t="shared" si="3"/>
        <v>79</v>
      </c>
      <c r="H106" s="87"/>
    </row>
    <row r="107" spans="1:8" ht="12.75" customHeight="1">
      <c r="A107" s="75">
        <v>104</v>
      </c>
      <c r="B107" s="31" t="s">
        <v>273</v>
      </c>
      <c r="C107" s="86" t="s">
        <v>9</v>
      </c>
      <c r="D107" s="49"/>
      <c r="E107" s="51"/>
      <c r="F107" s="51">
        <f>9+70</f>
        <v>79</v>
      </c>
      <c r="G107" s="80">
        <f t="shared" si="3"/>
        <v>79</v>
      </c>
      <c r="H107" s="87"/>
    </row>
    <row r="108" spans="1:8" ht="12.75" customHeight="1">
      <c r="A108" s="75">
        <v>105</v>
      </c>
      <c r="B108" s="31" t="s">
        <v>274</v>
      </c>
      <c r="C108" s="86" t="s">
        <v>12</v>
      </c>
      <c r="D108" s="51">
        <f>28+50</f>
        <v>78</v>
      </c>
      <c r="E108" s="51"/>
      <c r="F108" s="51"/>
      <c r="G108" s="80">
        <f t="shared" si="3"/>
        <v>78</v>
      </c>
      <c r="H108" s="87"/>
    </row>
    <row r="109" spans="1:8" ht="12.75" customHeight="1">
      <c r="A109" s="75">
        <v>106</v>
      </c>
      <c r="B109" s="31" t="s">
        <v>275</v>
      </c>
      <c r="C109" s="86" t="s">
        <v>43</v>
      </c>
      <c r="D109" s="49">
        <f>26+50</f>
        <v>76</v>
      </c>
      <c r="E109" s="53"/>
      <c r="F109" s="49"/>
      <c r="G109" s="80">
        <f t="shared" si="3"/>
        <v>76</v>
      </c>
      <c r="H109" s="87"/>
    </row>
    <row r="110" spans="1:8" ht="12.75" customHeight="1">
      <c r="A110" s="75">
        <v>107</v>
      </c>
      <c r="B110" s="31" t="s">
        <v>276</v>
      </c>
      <c r="C110" s="86" t="s">
        <v>99</v>
      </c>
      <c r="D110" s="49"/>
      <c r="E110" s="51"/>
      <c r="F110" s="51">
        <f>5+70</f>
        <v>75</v>
      </c>
      <c r="G110" s="80">
        <f t="shared" si="3"/>
        <v>75</v>
      </c>
      <c r="H110" s="87"/>
    </row>
    <row r="111" spans="1:8" ht="12.75" customHeight="1">
      <c r="A111" s="75">
        <v>108</v>
      </c>
      <c r="B111" s="31" t="s">
        <v>277</v>
      </c>
      <c r="C111" s="86" t="s">
        <v>9</v>
      </c>
      <c r="D111" s="49">
        <f>25+50</f>
        <v>75</v>
      </c>
      <c r="E111" s="53"/>
      <c r="F111" s="49"/>
      <c r="G111" s="80">
        <f t="shared" si="3"/>
        <v>75</v>
      </c>
      <c r="H111" s="87"/>
    </row>
    <row r="112" spans="1:8" ht="12.75" customHeight="1">
      <c r="A112" s="75">
        <v>109</v>
      </c>
      <c r="B112" s="31" t="s">
        <v>278</v>
      </c>
      <c r="C112" s="86" t="s">
        <v>31</v>
      </c>
      <c r="D112" s="51"/>
      <c r="E112" s="51"/>
      <c r="F112" s="51">
        <f>3+70</f>
        <v>73</v>
      </c>
      <c r="G112" s="80">
        <f t="shared" si="3"/>
        <v>73</v>
      </c>
      <c r="H112" s="87"/>
    </row>
    <row r="113" spans="1:8" ht="12.75" customHeight="1">
      <c r="A113" s="75">
        <v>110</v>
      </c>
      <c r="B113" s="31" t="s">
        <v>279</v>
      </c>
      <c r="C113" s="86" t="s">
        <v>68</v>
      </c>
      <c r="D113" s="49"/>
      <c r="E113" s="51">
        <f>3+70</f>
        <v>73</v>
      </c>
      <c r="F113" s="51"/>
      <c r="G113" s="80">
        <f t="shared" si="3"/>
        <v>73</v>
      </c>
      <c r="H113" s="87"/>
    </row>
    <row r="114" spans="1:8" ht="12.75" customHeight="1">
      <c r="A114" s="75">
        <v>111</v>
      </c>
      <c r="B114" s="31" t="s">
        <v>280</v>
      </c>
      <c r="C114" s="86" t="s">
        <v>20</v>
      </c>
      <c r="D114" s="49">
        <f>22+50</f>
        <v>72</v>
      </c>
      <c r="E114" s="53"/>
      <c r="F114" s="49"/>
      <c r="G114" s="80">
        <f t="shared" si="3"/>
        <v>72</v>
      </c>
      <c r="H114" s="87"/>
    </row>
    <row r="115" spans="1:8" ht="12.75" customHeight="1">
      <c r="A115" s="75">
        <v>112</v>
      </c>
      <c r="B115" s="31" t="s">
        <v>281</v>
      </c>
      <c r="C115" s="86" t="s">
        <v>12</v>
      </c>
      <c r="D115" s="51"/>
      <c r="E115" s="51">
        <f>1+70</f>
        <v>71</v>
      </c>
      <c r="F115" s="51"/>
      <c r="G115" s="80">
        <f t="shared" si="3"/>
        <v>71</v>
      </c>
      <c r="H115" s="87"/>
    </row>
    <row r="116" spans="1:8" ht="12.75" customHeight="1">
      <c r="A116" s="75">
        <v>113</v>
      </c>
      <c r="B116" s="31" t="s">
        <v>282</v>
      </c>
      <c r="C116" s="86" t="s">
        <v>265</v>
      </c>
      <c r="D116" s="51"/>
      <c r="E116" s="51"/>
      <c r="F116" s="51">
        <f>1+70</f>
        <v>71</v>
      </c>
      <c r="G116" s="80">
        <f t="shared" si="3"/>
        <v>71</v>
      </c>
      <c r="H116" s="87"/>
    </row>
    <row r="117" spans="1:8" ht="12.75" customHeight="1">
      <c r="A117" s="75">
        <v>114</v>
      </c>
      <c r="B117" s="31" t="s">
        <v>283</v>
      </c>
      <c r="C117" s="86" t="s">
        <v>12</v>
      </c>
      <c r="D117" s="49">
        <f>14+50</f>
        <v>64</v>
      </c>
      <c r="E117" s="51"/>
      <c r="F117" s="51"/>
      <c r="G117" s="80">
        <f t="shared" si="3"/>
        <v>64</v>
      </c>
      <c r="H117" s="87"/>
    </row>
    <row r="118" spans="1:8" ht="12.75" customHeight="1">
      <c r="A118" s="75">
        <v>115</v>
      </c>
      <c r="B118" s="31" t="s">
        <v>284</v>
      </c>
      <c r="C118" s="86" t="s">
        <v>48</v>
      </c>
      <c r="D118" s="49">
        <f>11+50</f>
        <v>61</v>
      </c>
      <c r="E118" s="53"/>
      <c r="F118" s="49"/>
      <c r="G118" s="80">
        <f t="shared" si="3"/>
        <v>61</v>
      </c>
      <c r="H118" s="87"/>
    </row>
    <row r="119" spans="1:8" ht="12.75" customHeight="1">
      <c r="A119" s="75">
        <v>116</v>
      </c>
      <c r="B119" s="31" t="s">
        <v>285</v>
      </c>
      <c r="C119" s="86" t="s">
        <v>56</v>
      </c>
      <c r="D119" s="49">
        <f>10+50</f>
        <v>60</v>
      </c>
      <c r="E119" s="51"/>
      <c r="F119" s="51"/>
      <c r="G119" s="80">
        <f t="shared" si="3"/>
        <v>60</v>
      </c>
      <c r="H119" s="87"/>
    </row>
    <row r="120" spans="1:8" ht="12.75" customHeight="1">
      <c r="A120" s="75">
        <v>117</v>
      </c>
      <c r="B120" s="31" t="s">
        <v>286</v>
      </c>
      <c r="C120" s="86" t="s">
        <v>56</v>
      </c>
      <c r="D120" s="49">
        <f>7+50</f>
        <v>57</v>
      </c>
      <c r="E120" s="51"/>
      <c r="F120" s="51"/>
      <c r="G120" s="80">
        <f t="shared" si="3"/>
        <v>57</v>
      </c>
      <c r="H120" s="87"/>
    </row>
    <row r="121" spans="1:8" ht="12.75" customHeight="1">
      <c r="A121" s="75">
        <v>118</v>
      </c>
      <c r="B121" s="57" t="s">
        <v>287</v>
      </c>
      <c r="C121" s="90" t="s">
        <v>36</v>
      </c>
      <c r="D121" s="59">
        <f>4+50</f>
        <v>54</v>
      </c>
      <c r="E121" s="91"/>
      <c r="F121" s="91"/>
      <c r="G121" s="80">
        <f t="shared" si="3"/>
        <v>54</v>
      </c>
      <c r="H121" s="92"/>
    </row>
  </sheetData>
  <sheetProtection selectLockedCells="1" selectUnlockedCells="1"/>
  <mergeCells count="3">
    <mergeCell ref="A1:H1"/>
    <mergeCell ref="A2:H2"/>
    <mergeCell ref="B3:C3"/>
  </mergeCells>
  <printOptions/>
  <pageMargins left="0.31527777777777777" right="0.31527777777777777" top="0.15763888888888888" bottom="0.1576388888888888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Poste2</dc:creator>
  <cp:keywords/>
  <dc:description/>
  <cp:lastModifiedBy>Poste2</cp:lastModifiedBy>
  <cp:lastPrinted>2016-01-14T16:31:30Z</cp:lastPrinted>
  <dcterms:created xsi:type="dcterms:W3CDTF">2014-09-23T09:04:00Z</dcterms:created>
  <dcterms:modified xsi:type="dcterms:W3CDTF">2016-01-14T16:46:14Z</dcterms:modified>
  <cp:category/>
  <cp:version/>
  <cp:contentType/>
  <cp:contentStatus/>
</cp:coreProperties>
</file>